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ardennaenergyllc-my.sharepoint.com/personal/bruce_ardenna-energy_com/Documents/Ardenna/Clients and Projects/Stopwaste/2022 calculator updates/"/>
    </mc:Choice>
  </mc:AlternateContent>
  <xr:revisionPtr revIDLastSave="984" documentId="8_{E7823324-8992-4855-AB2E-CC098CEBBC2C}" xr6:coauthVersionLast="47" xr6:coauthVersionMax="47" xr10:uidLastSave="{BD7D2543-EB2A-4F38-BBDA-4E653F89BECA}"/>
  <bookViews>
    <workbookView xWindow="-108" yWindow="-108" windowWidth="23256" windowHeight="13896" activeTab="2" xr2:uid="{23879B1A-1689-4D3B-87C8-398815FF3131}"/>
  </bookViews>
  <sheets>
    <sheet name="Change log" sheetId="38" r:id="rId1"/>
    <sheet name="READ ME - Instructions" sheetId="19" r:id="rId2"/>
    <sheet name="Policy Impact Dashboard" sheetId="20" r:id="rId3"/>
    <sheet name="BAU" sheetId="25" state="hidden" r:id="rId4"/>
    <sheet name="NC Reach Code Impacts" sheetId="24" state="hidden" r:id="rId5"/>
    <sheet name="stock-flow model" sheetId="23" state="hidden" r:id="rId6"/>
    <sheet name="1-code compliance" sheetId="4" r:id="rId7"/>
    <sheet name="2-energy assessment" sheetId="3" r:id="rId8"/>
    <sheet name="3-time of replacement" sheetId="5" r:id="rId9"/>
    <sheet name="controls" sheetId="29" state="hidden" r:id="rId10"/>
    <sheet name="4-time of renovation" sheetId="6" r:id="rId11"/>
    <sheet name="5-performance standards" sheetId="2" r:id="rId12"/>
    <sheet name="end of flow" sheetId="26" state="hidden" r:id="rId13"/>
    <sheet name="Housing Stock Profile" sheetId="1" r:id="rId14"/>
    <sheet name="Appliance Stock Profile" sheetId="37" r:id="rId15"/>
    <sheet name="lists" sheetId="7" state="hidden" r:id="rId16"/>
    <sheet name="Housing Stock Defaults" sheetId="36" state="hidden" r:id="rId17"/>
    <sheet name="Utility Profile" sheetId="9" state="hidden" r:id="rId18"/>
    <sheet name="CZ UECs " sheetId="27" state="hidden" r:id="rId19"/>
    <sheet name="City Profile" sheetId="8" state="hidden" r:id="rId20"/>
    <sheet name="city county lists" sheetId="21" state="hidden" r:id="rId21"/>
    <sheet name="MSA Data" sheetId="22" state="hidden" r:id="rId22"/>
    <sheet name="occupied units" sheetId="10" state="hidden" r:id="rId23"/>
    <sheet name="home sales" sheetId="14" state="hidden" r:id="rId24"/>
  </sheets>
  <definedNames>
    <definedName name="AC_UEC">'Appliance Stock Profile'!$E$12</definedName>
    <definedName name="ACBaselineEff">'Appliance Stock Profile'!$K$12</definedName>
    <definedName name="ACPerformanceEff">'Appliance Stock Profile'!$M$12</definedName>
    <definedName name="ACReplaceRate">'Appliance Stock Profile'!$H$12</definedName>
    <definedName name="ACSaturation">'Appliance Stock Profile'!$C$12</definedName>
    <definedName name="AssessmentConversionRate">'2-energy assessment'!$C$10</definedName>
    <definedName name="AssessmentConvertDHW">'2-energy assessment'!$C$15</definedName>
    <definedName name="AssessmentConvertFurnace">'2-energy assessment'!$C$14</definedName>
    <definedName name="AssessmentConvertHouse">'2-energy assessment'!$C$16</definedName>
    <definedName name="AssessmentEEImprovement">'2-energy assessment'!$C$12</definedName>
    <definedName name="AssessmentTrigger">'2-energy assessment'!$C$5</definedName>
    <definedName name="BaseAssessment">'Policy Impact Dashboard'!$D$12</definedName>
    <definedName name="BaseCode">'Policy Impact Dashboard'!$D$11</definedName>
    <definedName name="BaseEndOfFlow">'Policy Impact Dashboard'!$D$16</definedName>
    <definedName name="BaseEqptReplacement">'Policy Impact Dashboard'!$D$13</definedName>
    <definedName name="BaseNCReachCode">'Policy Impact Dashboard'!$D$10</definedName>
    <definedName name="BasePerformance">'Policy Impact Dashboard'!$D$15</definedName>
    <definedName name="BaseRenovation">'Policy Impact Dashboard'!$D$14</definedName>
    <definedName name="ComplyAssessment">'Policy Impact Dashboard'!$E$12</definedName>
    <definedName name="ComplyCode">'Policy Impact Dashboard'!$E$11</definedName>
    <definedName name="ComplyEndofFlow">'Policy Impact Dashboard'!$E$16</definedName>
    <definedName name="ComplyEqptReplacemt">'Policy Impact Dashboard'!$E$13</definedName>
    <definedName name="ComplyNCReachCode">'Policy Impact Dashboard'!$E$10</definedName>
    <definedName name="ComplyPerformance">'Policy Impact Dashboard'!$E$15</definedName>
    <definedName name="ComplyRenovation">'Policy Impact Dashboard'!$E$14</definedName>
    <definedName name="ConstructionRate">'Housing Stock Profile'!$F$18</definedName>
    <definedName name="DHWReplaceRate">'Appliance Stock Profile'!$H$10</definedName>
    <definedName name="DHWSaturation">'Appliance Stock Profile'!$C$10</definedName>
    <definedName name="ElecEmissions">'stock-flow model'!$B$2:$B$27</definedName>
    <definedName name="ElecUEC_NEW">'Appliance Stock Profile'!$E$21:$H$21</definedName>
    <definedName name="ElecUECs">'Appliance Stock Profile'!$E$20:$H$20</definedName>
    <definedName name="FurnaceReplaceRate">'Appliance Stock Profile'!$H$9</definedName>
    <definedName name="FurnaceSaturation">'Appliance Stock Profile'!$C$9</definedName>
    <definedName name="GasEmissions">'Housing Stock Profile'!$D$8</definedName>
    <definedName name="GasUEC_NEW">'Appliance Stock Profile'!$B$21:$D$21</definedName>
    <definedName name="GasUECs">'Appliance Stock Profile'!$B$20:$D$20</definedName>
    <definedName name="HomeResaleRate">'Housing Stock Profile'!$F$17</definedName>
    <definedName name="HomeSales">'Housing Stock Profile'!$D$17</definedName>
    <definedName name="HP_UEC">'Appliance Stock Profile'!$E$13</definedName>
    <definedName name="HPReplaceRate">'Appliance Stock Profile'!$H$13</definedName>
    <definedName name="HPWH_UEC">'Appliance Stock Profile'!$E$14</definedName>
    <definedName name="HPWHReplaceRate">'Appliance Stock Profile'!$H$14</definedName>
    <definedName name="MoveRate">'Housing Stock Profile'!$F$20</definedName>
    <definedName name="OccupiedUnits">'Housing Stock Profile'!$D$14</definedName>
    <definedName name="OwnerRate">'Housing Stock Profile'!$F$16</definedName>
    <definedName name="RenovationRate">'Housing Stock Profile'!$F$19</definedName>
    <definedName name="Renovations">'Housing Stock Profile'!$D$19</definedName>
    <definedName name="RentalRate">'Housing Stock Profile'!$F$15</definedName>
    <definedName name="Rentals">'Housing Stock Profile'!$D$15</definedName>
    <definedName name="RentalSaturation">'Housing Stock Profile'!$F$15</definedName>
    <definedName name="StartAssessment">'Policy Impact Dashboard'!$C$12</definedName>
    <definedName name="StartBldgPerformance">'Policy Impact Dashboard'!$C$15</definedName>
    <definedName name="StartCodeCompliance">'Policy Impact Dashboard'!$C$11</definedName>
    <definedName name="StartEndofFlow">'Policy Impact Dashboard'!$C$16</definedName>
    <definedName name="StartEqptReplacemt">'Policy Impact Dashboard'!$C$13</definedName>
    <definedName name="StartReachCode">'Policy Impact Dashboard'!$C$10</definedName>
    <definedName name="StartRenovation">'Policy Impact Dashboard'!$C$14</definedName>
    <definedName name="TrueAssessment">controls!$B$4</definedName>
    <definedName name="TrueCodeCompliance">controls!$B$3</definedName>
    <definedName name="TrueEOF">controls!$B$8</definedName>
    <definedName name="TruePerformance">controls!$B$7</definedName>
    <definedName name="TrueReachCode">controls!$B$2</definedName>
    <definedName name="TrueRenovateAllGas">controls!$B$22</definedName>
    <definedName name="TrueRenovateDHW">controls!$B$21</definedName>
    <definedName name="TrueRenovateFurnace">controls!$B$20</definedName>
    <definedName name="TrueRenovation">controls!$B$6</definedName>
    <definedName name="TrueReplaceDHW">controls!$B$16</definedName>
    <definedName name="TrueReplaceFurnace">controls!$B$14</definedName>
    <definedName name="TrueReplaceFurnaceAC">controls!$B$15</definedName>
    <definedName name="TrueReplacement">controls!$B$5</definedName>
    <definedName name="TrueShowElec">controls!$B$11</definedName>
    <definedName name="TrueShowGas">controls!$B$10</definedName>
    <definedName name="ZeroCarbElectricity">'Policy Impact Dashboard'!$B$20</definedName>
    <definedName name="ZeroEmissionsBuildings">'Policy Impact Dashboard'!$B$21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7" l="1"/>
  <c r="D4" i="27"/>
  <c r="D5" i="27"/>
  <c r="D6" i="27"/>
  <c r="D7" i="27"/>
  <c r="D8" i="27"/>
  <c r="D9" i="27"/>
  <c r="D10" i="27"/>
  <c r="D11" i="27"/>
  <c r="D12" i="27"/>
  <c r="D13" i="27"/>
  <c r="D14" i="27"/>
  <c r="D15" i="27"/>
  <c r="D16" i="27"/>
  <c r="D17" i="27"/>
  <c r="D2" i="27"/>
  <c r="Q3" i="27" l="1"/>
  <c r="Q4" i="27"/>
  <c r="Q5" i="27"/>
  <c r="Q6" i="27"/>
  <c r="Q7" i="27"/>
  <c r="Q8" i="27"/>
  <c r="Q9" i="27"/>
  <c r="Q10" i="27"/>
  <c r="Q11" i="27"/>
  <c r="Q12" i="27"/>
  <c r="Q13" i="27"/>
  <c r="Q14" i="27"/>
  <c r="Q15" i="27"/>
  <c r="Q16" i="27"/>
  <c r="Q17" i="27"/>
  <c r="Q2" i="27"/>
  <c r="C15" i="37"/>
  <c r="C11" i="37"/>
  <c r="BG33" i="6"/>
  <c r="I2" i="23" s="1"/>
  <c r="BC27" i="5"/>
  <c r="J2" i="23" s="1"/>
  <c r="BN36" i="3"/>
  <c r="K2" i="23" s="1"/>
  <c r="M2" i="23"/>
  <c r="AH3" i="24"/>
  <c r="A34" i="6"/>
  <c r="A35" i="6"/>
  <c r="A36" i="6"/>
  <c r="A37" i="6"/>
  <c r="A38" i="6"/>
  <c r="A39" i="6"/>
  <c r="A40" i="6"/>
  <c r="A41" i="6"/>
  <c r="A42" i="6"/>
  <c r="A43" i="6"/>
  <c r="A44" i="6"/>
  <c r="A45" i="6"/>
  <c r="A46" i="6"/>
  <c r="A47" i="6"/>
  <c r="A48" i="6"/>
  <c r="A49" i="6"/>
  <c r="A50" i="6"/>
  <c r="A51" i="6"/>
  <c r="A52" i="6"/>
  <c r="A53" i="6"/>
  <c r="A54" i="6"/>
  <c r="A55" i="6"/>
  <c r="A56" i="6"/>
  <c r="A57" i="6"/>
  <c r="A58" i="6"/>
  <c r="A33" i="6"/>
  <c r="A28" i="5"/>
  <c r="A29" i="5"/>
  <c r="A30" i="5"/>
  <c r="A31" i="5"/>
  <c r="A32" i="5"/>
  <c r="A33" i="5"/>
  <c r="A34" i="5"/>
  <c r="A35" i="5"/>
  <c r="A36" i="5"/>
  <c r="A37" i="5"/>
  <c r="A38" i="5"/>
  <c r="A39" i="5"/>
  <c r="A40" i="5"/>
  <c r="A41" i="5"/>
  <c r="A42" i="5"/>
  <c r="A43" i="5"/>
  <c r="A44" i="5"/>
  <c r="A45" i="5"/>
  <c r="A46" i="5"/>
  <c r="A47" i="5"/>
  <c r="A48" i="5"/>
  <c r="A49" i="5"/>
  <c r="A50" i="5"/>
  <c r="A51" i="5"/>
  <c r="A52" i="5"/>
  <c r="A27" i="5"/>
  <c r="A37" i="3"/>
  <c r="A38" i="3"/>
  <c r="A39" i="3"/>
  <c r="A40" i="3"/>
  <c r="A41" i="3"/>
  <c r="A42" i="3"/>
  <c r="A43" i="3"/>
  <c r="A44" i="3"/>
  <c r="A45" i="3"/>
  <c r="A46" i="3"/>
  <c r="A47" i="3"/>
  <c r="A48" i="3"/>
  <c r="A49" i="3"/>
  <c r="A50" i="3"/>
  <c r="A51" i="3"/>
  <c r="A52" i="3"/>
  <c r="A53" i="3"/>
  <c r="A54" i="3"/>
  <c r="A55" i="3"/>
  <c r="A56" i="3"/>
  <c r="A57" i="3"/>
  <c r="A58" i="3"/>
  <c r="A59" i="3"/>
  <c r="A60" i="3"/>
  <c r="A61" i="3"/>
  <c r="A36" i="3"/>
  <c r="C3" i="24"/>
  <c r="N60" i="6"/>
  <c r="T63" i="3"/>
  <c r="L28" i="23"/>
  <c r="M10" i="37"/>
  <c r="M9" i="37"/>
  <c r="M14" i="37"/>
  <c r="M13" i="37"/>
  <c r="M12" i="37"/>
  <c r="K9" i="37"/>
  <c r="K10" i="37"/>
  <c r="K13" i="37"/>
  <c r="K14" i="37"/>
  <c r="K12" i="37"/>
  <c r="I14" i="37"/>
  <c r="I13" i="37"/>
  <c r="I10" i="37"/>
  <c r="I9" i="37"/>
  <c r="I12" i="37"/>
  <c r="G11" i="6"/>
  <c r="C5" i="6" s="1"/>
  <c r="N61" i="2"/>
  <c r="H13" i="37" l="1"/>
  <c r="H14" i="37"/>
  <c r="O3" i="10" l="1"/>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2"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 i="10"/>
  <c r="P2" i="10"/>
  <c r="B1" i="2"/>
  <c r="B1" i="6"/>
  <c r="B1" i="5"/>
  <c r="B1" i="3"/>
  <c r="B1" i="4"/>
  <c r="A1" i="37"/>
  <c r="B1" i="1"/>
  <c r="C9" i="1"/>
  <c r="C8" i="1"/>
  <c r="H2" i="7"/>
  <c r="H10" i="37" l="1"/>
  <c r="H9" i="37"/>
  <c r="G17" i="27"/>
  <c r="B17" i="27" s="1"/>
  <c r="H12" i="37"/>
  <c r="K3" i="25"/>
  <c r="H3" i="25"/>
  <c r="G3" i="25"/>
  <c r="AB3" i="25" s="1"/>
  <c r="H6" i="27" l="1"/>
  <c r="H10" i="27"/>
  <c r="H14" i="27"/>
  <c r="H3" i="27"/>
  <c r="H7" i="27"/>
  <c r="H11" i="27"/>
  <c r="H15" i="27"/>
  <c r="H17" i="27"/>
  <c r="H4" i="27"/>
  <c r="H8" i="27"/>
  <c r="H12" i="27"/>
  <c r="H16" i="27"/>
  <c r="H5" i="27"/>
  <c r="H9" i="27"/>
  <c r="H13" i="27"/>
  <c r="E17" i="27"/>
  <c r="E3" i="27"/>
  <c r="E5" i="27"/>
  <c r="E7" i="27"/>
  <c r="C7" i="27" s="1"/>
  <c r="E9" i="27"/>
  <c r="E11" i="27"/>
  <c r="E13" i="27"/>
  <c r="E15" i="27"/>
  <c r="E2" i="27"/>
  <c r="E4" i="27"/>
  <c r="C4" i="27" s="1"/>
  <c r="E6" i="27"/>
  <c r="C6" i="27" s="1"/>
  <c r="E8" i="27"/>
  <c r="E10" i="27"/>
  <c r="E12" i="27"/>
  <c r="E14" i="27"/>
  <c r="E16" i="27"/>
  <c r="AF3" i="25"/>
  <c r="S3" i="24" s="1"/>
  <c r="AL36" i="3" s="1"/>
  <c r="AD27" i="5" s="1"/>
  <c r="AF33" i="6" s="1"/>
  <c r="H16" i="37"/>
  <c r="G3" i="27"/>
  <c r="B3" i="27" s="1"/>
  <c r="B3" i="36"/>
  <c r="B12" i="36" s="1"/>
  <c r="B2" i="36"/>
  <c r="E32" i="22"/>
  <c r="E31" i="22"/>
  <c r="E30" i="22"/>
  <c r="E29" i="22"/>
  <c r="E28" i="22"/>
  <c r="E27" i="22"/>
  <c r="E12" i="22"/>
  <c r="E11" i="22"/>
  <c r="E2" i="22"/>
  <c r="E3" i="22"/>
  <c r="E4" i="22"/>
  <c r="E5" i="22"/>
  <c r="E6" i="22"/>
  <c r="E9" i="22"/>
  <c r="E8" i="22"/>
  <c r="E7" i="22"/>
  <c r="E39" i="22"/>
  <c r="E38" i="22"/>
  <c r="E37" i="22"/>
  <c r="E36" i="22"/>
  <c r="E35" i="22"/>
  <c r="E34" i="22"/>
  <c r="E24" i="22"/>
  <c r="E23" i="22"/>
  <c r="E14" i="22"/>
  <c r="E18" i="22"/>
  <c r="E17" i="22"/>
  <c r="E16" i="22"/>
  <c r="E15" i="22"/>
  <c r="E20" i="22"/>
  <c r="E19" i="22"/>
  <c r="E7" i="4"/>
  <c r="C7" i="4"/>
  <c r="E15" i="20"/>
  <c r="C8" i="2" s="1"/>
  <c r="E13" i="20"/>
  <c r="B13" i="9"/>
  <c r="B10" i="9"/>
  <c r="B9" i="9"/>
  <c r="B8" i="9"/>
  <c r="B7" i="9"/>
  <c r="B6" i="9"/>
  <c r="B5" i="9"/>
  <c r="B4" i="9"/>
  <c r="C5" i="27" l="1"/>
  <c r="C11" i="27"/>
  <c r="C13" i="27"/>
  <c r="C14" i="27"/>
  <c r="C16" i="27"/>
  <c r="C3" i="27"/>
  <c r="C12" i="27"/>
  <c r="C9" i="27"/>
  <c r="C10" i="27"/>
  <c r="C8" i="27"/>
  <c r="C15" i="27"/>
  <c r="C17" i="27"/>
  <c r="I17" i="27"/>
  <c r="I15" i="27"/>
  <c r="I11" i="27"/>
  <c r="I3" i="27"/>
  <c r="G14" i="27"/>
  <c r="B14" i="27" s="1"/>
  <c r="G10" i="27"/>
  <c r="B10" i="27" s="1"/>
  <c r="G6" i="27"/>
  <c r="B6" i="27" s="1"/>
  <c r="I14" i="27"/>
  <c r="I10" i="27"/>
  <c r="I6" i="27"/>
  <c r="G2" i="27"/>
  <c r="B2" i="27" s="1"/>
  <c r="G13" i="27"/>
  <c r="B13" i="27" s="1"/>
  <c r="G9" i="27"/>
  <c r="B9" i="27" s="1"/>
  <c r="G5" i="27"/>
  <c r="B5" i="27" s="1"/>
  <c r="I2" i="27"/>
  <c r="I13" i="27"/>
  <c r="I9" i="27"/>
  <c r="I5" i="27"/>
  <c r="G16" i="27"/>
  <c r="B16" i="27" s="1"/>
  <c r="G12" i="27"/>
  <c r="B12" i="27" s="1"/>
  <c r="G8" i="27"/>
  <c r="B8" i="27" s="1"/>
  <c r="G4" i="27"/>
  <c r="B4" i="27" s="1"/>
  <c r="I16" i="27"/>
  <c r="I12" i="27"/>
  <c r="I8" i="27"/>
  <c r="G15" i="27"/>
  <c r="B15" i="27" s="1"/>
  <c r="G11" i="27"/>
  <c r="B11" i="27" s="1"/>
  <c r="G7" i="27"/>
  <c r="B7" i="27" s="1"/>
  <c r="C15" i="36"/>
  <c r="E3" i="24"/>
  <c r="F4" i="36"/>
  <c r="H4" i="36" s="1"/>
  <c r="I7" i="27"/>
  <c r="I4" i="27"/>
  <c r="B5" i="36"/>
  <c r="B6" i="20" s="1"/>
  <c r="F3" i="36"/>
  <c r="B9" i="36"/>
  <c r="B13" i="36" s="1"/>
  <c r="D19" i="1" s="1"/>
  <c r="M54" i="5"/>
  <c r="Q54" i="5"/>
  <c r="H15" i="36" l="1"/>
  <c r="E11" i="37" s="1"/>
  <c r="D20" i="37" s="1"/>
  <c r="D21" i="37" s="1"/>
  <c r="G11" i="36"/>
  <c r="C10" i="37" s="1"/>
  <c r="G9" i="36"/>
  <c r="G10" i="36"/>
  <c r="C9" i="37" s="1"/>
  <c r="G4" i="36"/>
  <c r="D9" i="1" s="1"/>
  <c r="B2" i="23" s="1"/>
  <c r="H9" i="36"/>
  <c r="B10" i="36"/>
  <c r="H10" i="36"/>
  <c r="E9" i="37" s="1"/>
  <c r="H13" i="36"/>
  <c r="E14" i="37" s="1"/>
  <c r="H11" i="36"/>
  <c r="E10" i="37" s="1"/>
  <c r="H12" i="36"/>
  <c r="E13" i="37" s="1"/>
  <c r="G3" i="36"/>
  <c r="D8" i="1" s="1"/>
  <c r="H3" i="36"/>
  <c r="D14" i="1"/>
  <c r="F19" i="1" s="1"/>
  <c r="F15" i="36"/>
  <c r="C12" i="36"/>
  <c r="D17" i="1"/>
  <c r="B15" i="36"/>
  <c r="D18" i="1" s="1"/>
  <c r="F14" i="36"/>
  <c r="F18" i="1" l="1"/>
  <c r="C12" i="37"/>
  <c r="B12" i="37" s="1"/>
  <c r="G12" i="37" s="1"/>
  <c r="F9" i="36"/>
  <c r="I9" i="36" s="1"/>
  <c r="D15" i="1"/>
  <c r="F15" i="1" s="1"/>
  <c r="F10" i="36"/>
  <c r="I10" i="36" s="1"/>
  <c r="B11" i="37"/>
  <c r="B15" i="37"/>
  <c r="B20" i="37"/>
  <c r="B21" i="37" s="1"/>
  <c r="E12" i="37"/>
  <c r="B4" i="23"/>
  <c r="B5" i="25"/>
  <c r="B9" i="25"/>
  <c r="B13" i="25"/>
  <c r="B17" i="25"/>
  <c r="B21" i="25"/>
  <c r="B25" i="25"/>
  <c r="B4" i="25"/>
  <c r="B12" i="25"/>
  <c r="B28" i="25"/>
  <c r="B6" i="25"/>
  <c r="B10" i="25"/>
  <c r="B14" i="25"/>
  <c r="B18" i="25"/>
  <c r="B22" i="25"/>
  <c r="B26" i="25"/>
  <c r="B8" i="25"/>
  <c r="B16" i="25"/>
  <c r="B20" i="25"/>
  <c r="B24" i="25"/>
  <c r="B7" i="25"/>
  <c r="B11" i="25"/>
  <c r="B15" i="25"/>
  <c r="B19" i="25"/>
  <c r="B23" i="25"/>
  <c r="B27" i="25"/>
  <c r="H14" i="36"/>
  <c r="F20" i="37"/>
  <c r="F21" i="37" s="1"/>
  <c r="C20" i="37"/>
  <c r="C21" i="37" s="1"/>
  <c r="G20" i="37"/>
  <c r="G21" i="37" s="1"/>
  <c r="B11" i="23"/>
  <c r="B25" i="23"/>
  <c r="B7" i="23"/>
  <c r="B3" i="23"/>
  <c r="B21" i="23"/>
  <c r="B22" i="23"/>
  <c r="B18" i="23"/>
  <c r="B9" i="23"/>
  <c r="B16" i="23"/>
  <c r="B19" i="23"/>
  <c r="B14" i="23"/>
  <c r="B5" i="23"/>
  <c r="B12" i="23"/>
  <c r="B10" i="23"/>
  <c r="B17" i="23"/>
  <c r="B23" i="23"/>
  <c r="B24" i="23"/>
  <c r="B8" i="23"/>
  <c r="B27" i="23"/>
  <c r="B26" i="23"/>
  <c r="B6" i="23"/>
  <c r="B13" i="23"/>
  <c r="B15" i="23"/>
  <c r="B20" i="23"/>
  <c r="F17" i="1"/>
  <c r="C10" i="36"/>
  <c r="B11" i="36"/>
  <c r="B14" i="36"/>
  <c r="D20" i="1" s="1"/>
  <c r="C3" i="25"/>
  <c r="C13" i="36"/>
  <c r="I29" i="24"/>
  <c r="L29" i="24"/>
  <c r="F20" i="1" l="1"/>
  <c r="C19" i="3" s="1"/>
  <c r="C18" i="2"/>
  <c r="D16" i="1"/>
  <c r="F16" i="1" s="1"/>
  <c r="F11" i="36"/>
  <c r="I11" i="36" s="1"/>
  <c r="E15" i="37"/>
  <c r="H20" i="37" s="1"/>
  <c r="H21" i="37" s="1"/>
  <c r="E20" i="37"/>
  <c r="E21" i="37" s="1"/>
  <c r="C14" i="4"/>
  <c r="B10" i="37"/>
  <c r="G10" i="37" s="1"/>
  <c r="C16" i="4" s="1"/>
  <c r="C14" i="37"/>
  <c r="B14" i="37" s="1"/>
  <c r="G14" i="37" s="1"/>
  <c r="C13" i="37"/>
  <c r="B13" i="37" s="1"/>
  <c r="G13" i="37" s="1"/>
  <c r="B9" i="37"/>
  <c r="G9" i="37" s="1"/>
  <c r="C15" i="4" s="1"/>
  <c r="C19" i="6"/>
  <c r="E33" i="6"/>
  <c r="F33" i="6" s="1"/>
  <c r="O3" i="25"/>
  <c r="L3" i="25"/>
  <c r="M3" i="25"/>
  <c r="C11" i="36"/>
  <c r="K4" i="25"/>
  <c r="G4" i="25"/>
  <c r="AB4" i="25" s="1"/>
  <c r="H4" i="25"/>
  <c r="N3" i="25"/>
  <c r="R3" i="25"/>
  <c r="AO3" i="25"/>
  <c r="AN3" i="25"/>
  <c r="D3" i="25"/>
  <c r="G12" i="36"/>
  <c r="G13" i="36"/>
  <c r="H3" i="2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N118" i="10"/>
  <c r="I118" i="10"/>
  <c r="F118" i="10"/>
  <c r="E118" i="10"/>
  <c r="D118" i="10"/>
  <c r="C118" i="10"/>
  <c r="N117" i="10"/>
  <c r="I117" i="10"/>
  <c r="F117" i="10"/>
  <c r="E117" i="10"/>
  <c r="D117" i="10"/>
  <c r="C117" i="10"/>
  <c r="N116" i="10"/>
  <c r="I116" i="10"/>
  <c r="F116" i="10"/>
  <c r="E116" i="10"/>
  <c r="D116" i="10"/>
  <c r="C116" i="10"/>
  <c r="N115" i="10"/>
  <c r="I115" i="10"/>
  <c r="F115" i="10"/>
  <c r="E115" i="10"/>
  <c r="D115" i="10"/>
  <c r="C115" i="10"/>
  <c r="N114" i="10"/>
  <c r="I114" i="10"/>
  <c r="F114" i="10"/>
  <c r="E114" i="10"/>
  <c r="D114" i="10"/>
  <c r="C114" i="10"/>
  <c r="N113" i="10"/>
  <c r="I113" i="10"/>
  <c r="F113" i="10"/>
  <c r="E113" i="10"/>
  <c r="D113" i="10"/>
  <c r="C113" i="10"/>
  <c r="N112" i="10"/>
  <c r="I112" i="10"/>
  <c r="F112" i="10"/>
  <c r="E112" i="10"/>
  <c r="D112" i="10"/>
  <c r="C112" i="10"/>
  <c r="N111" i="10"/>
  <c r="I111" i="10"/>
  <c r="F111" i="10"/>
  <c r="E111" i="10"/>
  <c r="D111" i="10"/>
  <c r="C111" i="10"/>
  <c r="N110" i="10"/>
  <c r="I110" i="10"/>
  <c r="F110" i="10"/>
  <c r="E110" i="10"/>
  <c r="D110" i="10"/>
  <c r="C110" i="10"/>
  <c r="N109" i="10"/>
  <c r="I109" i="10"/>
  <c r="F109" i="10"/>
  <c r="E109" i="10"/>
  <c r="D109" i="10"/>
  <c r="C109" i="10"/>
  <c r="N108" i="10"/>
  <c r="I108" i="10"/>
  <c r="F108" i="10"/>
  <c r="E108" i="10"/>
  <c r="D108" i="10"/>
  <c r="C108" i="10"/>
  <c r="N107" i="10"/>
  <c r="I107" i="10"/>
  <c r="F107" i="10"/>
  <c r="E107" i="10"/>
  <c r="D107" i="10"/>
  <c r="C107" i="10"/>
  <c r="N106" i="10"/>
  <c r="I106" i="10"/>
  <c r="F106" i="10"/>
  <c r="E106" i="10"/>
  <c r="D106" i="10"/>
  <c r="C106" i="10"/>
  <c r="N105" i="10"/>
  <c r="I105" i="10"/>
  <c r="F105" i="10"/>
  <c r="E105" i="10"/>
  <c r="D105" i="10"/>
  <c r="C105" i="10"/>
  <c r="N104" i="10"/>
  <c r="I104" i="10"/>
  <c r="F104" i="10"/>
  <c r="E104" i="10"/>
  <c r="D104" i="10"/>
  <c r="C104" i="10"/>
  <c r="N103" i="10"/>
  <c r="I103" i="10"/>
  <c r="F103" i="10"/>
  <c r="E103" i="10"/>
  <c r="D103" i="10"/>
  <c r="C103" i="10"/>
  <c r="N102" i="10"/>
  <c r="I102" i="10"/>
  <c r="F102" i="10"/>
  <c r="E102" i="10"/>
  <c r="D102" i="10"/>
  <c r="C102" i="10"/>
  <c r="N101" i="10"/>
  <c r="I101" i="10"/>
  <c r="F101" i="10"/>
  <c r="E101" i="10"/>
  <c r="D101" i="10"/>
  <c r="C101" i="10"/>
  <c r="N100" i="10"/>
  <c r="I100" i="10"/>
  <c r="F100" i="10"/>
  <c r="E100" i="10"/>
  <c r="D100" i="10"/>
  <c r="C100" i="10"/>
  <c r="N99" i="10"/>
  <c r="I99" i="10"/>
  <c r="F99" i="10"/>
  <c r="E99" i="10"/>
  <c r="D99" i="10"/>
  <c r="C99" i="10"/>
  <c r="N98" i="10"/>
  <c r="I98" i="10"/>
  <c r="F98" i="10"/>
  <c r="E98" i="10"/>
  <c r="D98" i="10"/>
  <c r="C98" i="10"/>
  <c r="N97" i="10"/>
  <c r="I97" i="10"/>
  <c r="F97" i="10"/>
  <c r="E97" i="10"/>
  <c r="D97" i="10"/>
  <c r="C97" i="10"/>
  <c r="N96" i="10"/>
  <c r="I96" i="10"/>
  <c r="F96" i="10"/>
  <c r="E96" i="10"/>
  <c r="D96" i="10"/>
  <c r="C96" i="10"/>
  <c r="N95" i="10"/>
  <c r="I95" i="10"/>
  <c r="F95" i="10"/>
  <c r="E95" i="10"/>
  <c r="D95" i="10"/>
  <c r="C95" i="10"/>
  <c r="N94" i="10"/>
  <c r="I94" i="10"/>
  <c r="F94" i="10"/>
  <c r="E94" i="10"/>
  <c r="D94" i="10"/>
  <c r="C94" i="10"/>
  <c r="N93" i="10"/>
  <c r="I93" i="10"/>
  <c r="F93" i="10"/>
  <c r="E93" i="10"/>
  <c r="D93" i="10"/>
  <c r="C93" i="10"/>
  <c r="N92" i="10"/>
  <c r="I92" i="10"/>
  <c r="F92" i="10"/>
  <c r="E92" i="10"/>
  <c r="D92" i="10"/>
  <c r="C92" i="10"/>
  <c r="N91" i="10"/>
  <c r="I91" i="10"/>
  <c r="F91" i="10"/>
  <c r="E91" i="10"/>
  <c r="D91" i="10"/>
  <c r="C91" i="10"/>
  <c r="N90" i="10"/>
  <c r="I90" i="10"/>
  <c r="F90" i="10"/>
  <c r="E90" i="10"/>
  <c r="D90" i="10"/>
  <c r="C90" i="10"/>
  <c r="N89" i="10"/>
  <c r="I89" i="10"/>
  <c r="F89" i="10"/>
  <c r="E89" i="10"/>
  <c r="D89" i="10"/>
  <c r="C89" i="10"/>
  <c r="N88" i="10"/>
  <c r="I88" i="10"/>
  <c r="F88" i="10"/>
  <c r="E88" i="10"/>
  <c r="D88" i="10"/>
  <c r="C88" i="10"/>
  <c r="N87" i="10"/>
  <c r="I87" i="10"/>
  <c r="F87" i="10"/>
  <c r="E87" i="10"/>
  <c r="D87" i="10"/>
  <c r="C87" i="10"/>
  <c r="N86" i="10"/>
  <c r="I86" i="10"/>
  <c r="F86" i="10"/>
  <c r="E86" i="10"/>
  <c r="D86" i="10"/>
  <c r="C86" i="10"/>
  <c r="N85" i="10"/>
  <c r="I85" i="10"/>
  <c r="F85" i="10"/>
  <c r="E85" i="10"/>
  <c r="D85" i="10"/>
  <c r="C85" i="10"/>
  <c r="N84" i="10"/>
  <c r="I84" i="10"/>
  <c r="F84" i="10"/>
  <c r="E84" i="10"/>
  <c r="D84" i="10"/>
  <c r="C84" i="10"/>
  <c r="N83" i="10"/>
  <c r="I83" i="10"/>
  <c r="F83" i="10"/>
  <c r="E83" i="10"/>
  <c r="D83" i="10"/>
  <c r="C83" i="10"/>
  <c r="N82" i="10"/>
  <c r="I82" i="10"/>
  <c r="F82" i="10"/>
  <c r="E82" i="10"/>
  <c r="D82" i="10"/>
  <c r="C82" i="10"/>
  <c r="N81" i="10"/>
  <c r="I81" i="10"/>
  <c r="F81" i="10"/>
  <c r="E81" i="10"/>
  <c r="D81" i="10"/>
  <c r="C81" i="10"/>
  <c r="N80" i="10"/>
  <c r="I80" i="10"/>
  <c r="F80" i="10"/>
  <c r="E80" i="10"/>
  <c r="D80" i="10"/>
  <c r="C80" i="10"/>
  <c r="N79" i="10"/>
  <c r="I79" i="10"/>
  <c r="F79" i="10"/>
  <c r="E79" i="10"/>
  <c r="D79" i="10"/>
  <c r="C79" i="10"/>
  <c r="N78" i="10"/>
  <c r="I78" i="10"/>
  <c r="F78" i="10"/>
  <c r="E78" i="10"/>
  <c r="D78" i="10"/>
  <c r="C78" i="10"/>
  <c r="N77" i="10"/>
  <c r="I77" i="10"/>
  <c r="F77" i="10"/>
  <c r="E77" i="10"/>
  <c r="D77" i="10"/>
  <c r="C77" i="10"/>
  <c r="N76" i="10"/>
  <c r="I76" i="10"/>
  <c r="F76" i="10"/>
  <c r="E76" i="10"/>
  <c r="D76" i="10"/>
  <c r="C76" i="10"/>
  <c r="N75" i="10"/>
  <c r="I75" i="10"/>
  <c r="F75" i="10"/>
  <c r="E75" i="10"/>
  <c r="D75" i="10"/>
  <c r="C75" i="10"/>
  <c r="N74" i="10"/>
  <c r="I74" i="10"/>
  <c r="F74" i="10"/>
  <c r="E74" i="10"/>
  <c r="D74" i="10"/>
  <c r="C74" i="10"/>
  <c r="N73" i="10"/>
  <c r="I73" i="10"/>
  <c r="F73" i="10"/>
  <c r="E73" i="10"/>
  <c r="D73" i="10"/>
  <c r="C73" i="10"/>
  <c r="N72" i="10"/>
  <c r="I72" i="10"/>
  <c r="F72" i="10"/>
  <c r="E72" i="10"/>
  <c r="D72" i="10"/>
  <c r="C72" i="10"/>
  <c r="N71" i="10"/>
  <c r="I71" i="10"/>
  <c r="F71" i="10"/>
  <c r="E71" i="10"/>
  <c r="D71" i="10"/>
  <c r="C71" i="10"/>
  <c r="N70" i="10"/>
  <c r="I70" i="10"/>
  <c r="F70" i="10"/>
  <c r="E70" i="10"/>
  <c r="D70" i="10"/>
  <c r="C70" i="10"/>
  <c r="N69" i="10"/>
  <c r="I69" i="10"/>
  <c r="F69" i="10"/>
  <c r="E69" i="10"/>
  <c r="D69" i="10"/>
  <c r="C69" i="10"/>
  <c r="N68" i="10"/>
  <c r="I68" i="10"/>
  <c r="F68" i="10"/>
  <c r="E68" i="10"/>
  <c r="D68" i="10"/>
  <c r="C68" i="10"/>
  <c r="N67" i="10"/>
  <c r="I67" i="10"/>
  <c r="F67" i="10"/>
  <c r="E67" i="10"/>
  <c r="D67" i="10"/>
  <c r="C67" i="10"/>
  <c r="N66" i="10"/>
  <c r="I66" i="10"/>
  <c r="F66" i="10"/>
  <c r="E66" i="10"/>
  <c r="D66" i="10"/>
  <c r="C66" i="10"/>
  <c r="N65" i="10"/>
  <c r="I65" i="10"/>
  <c r="F65" i="10"/>
  <c r="E65" i="10"/>
  <c r="D65" i="10"/>
  <c r="C65" i="10"/>
  <c r="N64" i="10"/>
  <c r="I64" i="10"/>
  <c r="F64" i="10"/>
  <c r="E64" i="10"/>
  <c r="D64" i="10"/>
  <c r="C64" i="10"/>
  <c r="N63" i="10"/>
  <c r="I63" i="10"/>
  <c r="F63" i="10"/>
  <c r="E63" i="10"/>
  <c r="D63" i="10"/>
  <c r="C63" i="10"/>
  <c r="N62" i="10"/>
  <c r="I62" i="10"/>
  <c r="F62" i="10"/>
  <c r="E62" i="10"/>
  <c r="D62" i="10"/>
  <c r="C62" i="10"/>
  <c r="N61" i="10"/>
  <c r="I61" i="10"/>
  <c r="F61" i="10"/>
  <c r="E61" i="10"/>
  <c r="D61" i="10"/>
  <c r="C61" i="10"/>
  <c r="N60" i="10"/>
  <c r="I60" i="10"/>
  <c r="F60" i="10"/>
  <c r="E60" i="10"/>
  <c r="D60" i="10"/>
  <c r="C60" i="10"/>
  <c r="N59" i="10"/>
  <c r="I59" i="10"/>
  <c r="F59" i="10"/>
  <c r="E59" i="10"/>
  <c r="D59" i="10"/>
  <c r="C59" i="10"/>
  <c r="N58" i="10"/>
  <c r="I58" i="10"/>
  <c r="F58" i="10"/>
  <c r="E58" i="10"/>
  <c r="D58" i="10"/>
  <c r="C58" i="10"/>
  <c r="N57" i="10"/>
  <c r="I57" i="10"/>
  <c r="F57" i="10"/>
  <c r="E57" i="10"/>
  <c r="D57" i="10"/>
  <c r="C57" i="10"/>
  <c r="N56" i="10"/>
  <c r="I56" i="10"/>
  <c r="F56" i="10"/>
  <c r="E56" i="10"/>
  <c r="D56" i="10"/>
  <c r="C56" i="10"/>
  <c r="N55" i="10"/>
  <c r="I55" i="10"/>
  <c r="F55" i="10"/>
  <c r="E55" i="10"/>
  <c r="D55" i="10"/>
  <c r="C55" i="10"/>
  <c r="N54" i="10"/>
  <c r="I54" i="10"/>
  <c r="F54" i="10"/>
  <c r="E54" i="10"/>
  <c r="D54" i="10"/>
  <c r="C54" i="10"/>
  <c r="N53" i="10"/>
  <c r="I53" i="10"/>
  <c r="F53" i="10"/>
  <c r="E53" i="10"/>
  <c r="D53" i="10"/>
  <c r="C53" i="10"/>
  <c r="N52" i="10"/>
  <c r="I52" i="10"/>
  <c r="F52" i="10"/>
  <c r="E52" i="10"/>
  <c r="D52" i="10"/>
  <c r="C52" i="10"/>
  <c r="N51" i="10"/>
  <c r="I51" i="10"/>
  <c r="F51" i="10"/>
  <c r="E51" i="10"/>
  <c r="D51" i="10"/>
  <c r="C51" i="10"/>
  <c r="N50" i="10"/>
  <c r="I50" i="10"/>
  <c r="F50" i="10"/>
  <c r="E50" i="10"/>
  <c r="D50" i="10"/>
  <c r="C50" i="10"/>
  <c r="N49" i="10"/>
  <c r="I49" i="10"/>
  <c r="F49" i="10"/>
  <c r="E49" i="10"/>
  <c r="D49" i="10"/>
  <c r="C49" i="10"/>
  <c r="N48" i="10"/>
  <c r="I48" i="10"/>
  <c r="F48" i="10"/>
  <c r="E48" i="10"/>
  <c r="D48" i="10"/>
  <c r="C48" i="10"/>
  <c r="N47" i="10"/>
  <c r="I47" i="10"/>
  <c r="F47" i="10"/>
  <c r="E47" i="10"/>
  <c r="D47" i="10"/>
  <c r="C47" i="10"/>
  <c r="N46" i="10"/>
  <c r="I46" i="10"/>
  <c r="F46" i="10"/>
  <c r="E46" i="10"/>
  <c r="D46" i="10"/>
  <c r="C46" i="10"/>
  <c r="N45" i="10"/>
  <c r="I45" i="10"/>
  <c r="F45" i="10"/>
  <c r="E45" i="10"/>
  <c r="D45" i="10"/>
  <c r="C45" i="10"/>
  <c r="N44" i="10"/>
  <c r="I44" i="10"/>
  <c r="F44" i="10"/>
  <c r="E44" i="10"/>
  <c r="D44" i="10"/>
  <c r="C44" i="10"/>
  <c r="N43" i="10"/>
  <c r="I43" i="10"/>
  <c r="F43" i="10"/>
  <c r="E43" i="10"/>
  <c r="D43" i="10"/>
  <c r="C43" i="10"/>
  <c r="N42" i="10"/>
  <c r="I42" i="10"/>
  <c r="F42" i="10"/>
  <c r="E42" i="10"/>
  <c r="D42" i="10"/>
  <c r="C42" i="10"/>
  <c r="N41" i="10"/>
  <c r="I41" i="10"/>
  <c r="F41" i="10"/>
  <c r="E41" i="10"/>
  <c r="D41" i="10"/>
  <c r="C41" i="10"/>
  <c r="N40" i="10"/>
  <c r="I40" i="10"/>
  <c r="F40" i="10"/>
  <c r="E40" i="10"/>
  <c r="D40" i="10"/>
  <c r="C40" i="10"/>
  <c r="N39" i="10"/>
  <c r="I39" i="10"/>
  <c r="F39" i="10"/>
  <c r="E39" i="10"/>
  <c r="D39" i="10"/>
  <c r="C39" i="10"/>
  <c r="N38" i="10"/>
  <c r="I38" i="10"/>
  <c r="F38" i="10"/>
  <c r="E38" i="10"/>
  <c r="D38" i="10"/>
  <c r="C38" i="10"/>
  <c r="N37" i="10"/>
  <c r="I37" i="10"/>
  <c r="F37" i="10"/>
  <c r="E37" i="10"/>
  <c r="D37" i="10"/>
  <c r="C37" i="10"/>
  <c r="N36" i="10"/>
  <c r="I36" i="10"/>
  <c r="F36" i="10"/>
  <c r="E36" i="10"/>
  <c r="D36" i="10"/>
  <c r="C36" i="10"/>
  <c r="N35" i="10"/>
  <c r="I35" i="10"/>
  <c r="F35" i="10"/>
  <c r="E35" i="10"/>
  <c r="D35" i="10"/>
  <c r="C35" i="10"/>
  <c r="N34" i="10"/>
  <c r="I34" i="10"/>
  <c r="F34" i="10"/>
  <c r="E34" i="10"/>
  <c r="D34" i="10"/>
  <c r="C34" i="10"/>
  <c r="N33" i="10"/>
  <c r="I33" i="10"/>
  <c r="F33" i="10"/>
  <c r="E33" i="10"/>
  <c r="D33" i="10"/>
  <c r="C33" i="10"/>
  <c r="N32" i="10"/>
  <c r="I32" i="10"/>
  <c r="F32" i="10"/>
  <c r="E32" i="10"/>
  <c r="D32" i="10"/>
  <c r="C32" i="10"/>
  <c r="N31" i="10"/>
  <c r="I31" i="10"/>
  <c r="F31" i="10"/>
  <c r="E31" i="10"/>
  <c r="D31" i="10"/>
  <c r="C31" i="10"/>
  <c r="N30" i="10"/>
  <c r="I30" i="10"/>
  <c r="F30" i="10"/>
  <c r="E30" i="10"/>
  <c r="D30" i="10"/>
  <c r="C30" i="10"/>
  <c r="N29" i="10"/>
  <c r="I29" i="10"/>
  <c r="F29" i="10"/>
  <c r="E29" i="10"/>
  <c r="D29" i="10"/>
  <c r="C29" i="10"/>
  <c r="N28" i="10"/>
  <c r="I28" i="10"/>
  <c r="F28" i="10"/>
  <c r="E28" i="10"/>
  <c r="D28" i="10"/>
  <c r="C28" i="10"/>
  <c r="N27" i="10"/>
  <c r="I27" i="10"/>
  <c r="F27" i="10"/>
  <c r="E27" i="10"/>
  <c r="D27" i="10"/>
  <c r="C27" i="10"/>
  <c r="N26" i="10"/>
  <c r="I26" i="10"/>
  <c r="F26" i="10"/>
  <c r="E26" i="10"/>
  <c r="D26" i="10"/>
  <c r="C26" i="10"/>
  <c r="N25" i="10"/>
  <c r="I25" i="10"/>
  <c r="F25" i="10"/>
  <c r="E25" i="10"/>
  <c r="D25" i="10"/>
  <c r="C25" i="10"/>
  <c r="N24" i="10"/>
  <c r="I24" i="10"/>
  <c r="F24" i="10"/>
  <c r="E24" i="10"/>
  <c r="D24" i="10"/>
  <c r="C24" i="10"/>
  <c r="N23" i="10"/>
  <c r="I23" i="10"/>
  <c r="F23" i="10"/>
  <c r="E23" i="10"/>
  <c r="D23" i="10"/>
  <c r="C23" i="10"/>
  <c r="N22" i="10"/>
  <c r="I22" i="10"/>
  <c r="F22" i="10"/>
  <c r="E22" i="10"/>
  <c r="D22" i="10"/>
  <c r="C22" i="10"/>
  <c r="N21" i="10"/>
  <c r="I21" i="10"/>
  <c r="F21" i="10"/>
  <c r="E21" i="10"/>
  <c r="D21" i="10"/>
  <c r="C21" i="10"/>
  <c r="N20" i="10"/>
  <c r="I20" i="10"/>
  <c r="F20" i="10"/>
  <c r="E20" i="10"/>
  <c r="D20" i="10"/>
  <c r="C20" i="10"/>
  <c r="N19" i="10"/>
  <c r="I19" i="10"/>
  <c r="F19" i="10"/>
  <c r="E19" i="10"/>
  <c r="D19" i="10"/>
  <c r="C19" i="10"/>
  <c r="N18" i="10"/>
  <c r="I18" i="10"/>
  <c r="F18" i="10"/>
  <c r="E18" i="10"/>
  <c r="D18" i="10"/>
  <c r="C18" i="10"/>
  <c r="N17" i="10"/>
  <c r="I17" i="10"/>
  <c r="F17" i="10"/>
  <c r="E17" i="10"/>
  <c r="D17" i="10"/>
  <c r="C17" i="10"/>
  <c r="N16" i="10"/>
  <c r="I16" i="10"/>
  <c r="F16" i="10"/>
  <c r="E16" i="10"/>
  <c r="D16" i="10"/>
  <c r="C16" i="10"/>
  <c r="N15" i="10"/>
  <c r="I15" i="10"/>
  <c r="F15" i="10"/>
  <c r="E15" i="10"/>
  <c r="D15" i="10"/>
  <c r="C15" i="10"/>
  <c r="N14" i="10"/>
  <c r="I14" i="10"/>
  <c r="F14" i="10"/>
  <c r="E14" i="10"/>
  <c r="D14" i="10"/>
  <c r="C14" i="10"/>
  <c r="N13" i="10"/>
  <c r="I13" i="10"/>
  <c r="F13" i="10"/>
  <c r="E13" i="10"/>
  <c r="D13" i="10"/>
  <c r="C13" i="10"/>
  <c r="N12" i="10"/>
  <c r="I12" i="10"/>
  <c r="F12" i="10"/>
  <c r="E12" i="10"/>
  <c r="D12" i="10"/>
  <c r="C12" i="10"/>
  <c r="N11" i="10"/>
  <c r="I11" i="10"/>
  <c r="F11" i="10"/>
  <c r="E11" i="10"/>
  <c r="D11" i="10"/>
  <c r="C11" i="10"/>
  <c r="N10" i="10"/>
  <c r="I10" i="10"/>
  <c r="F10" i="10"/>
  <c r="E10" i="10"/>
  <c r="D10" i="10"/>
  <c r="C10" i="10"/>
  <c r="N9" i="10"/>
  <c r="I9" i="10"/>
  <c r="F9" i="10"/>
  <c r="E9" i="10"/>
  <c r="D9" i="10"/>
  <c r="C9" i="10"/>
  <c r="N8" i="10"/>
  <c r="I8" i="10"/>
  <c r="F8" i="10"/>
  <c r="E8" i="10"/>
  <c r="D8" i="10"/>
  <c r="C8" i="10"/>
  <c r="N7" i="10"/>
  <c r="I7" i="10"/>
  <c r="F7" i="10"/>
  <c r="E7" i="10"/>
  <c r="D7" i="10"/>
  <c r="C7" i="10"/>
  <c r="N6" i="10"/>
  <c r="I6" i="10"/>
  <c r="F6" i="10"/>
  <c r="E6" i="10"/>
  <c r="D6" i="10"/>
  <c r="C6" i="10"/>
  <c r="N5" i="10"/>
  <c r="I5" i="10"/>
  <c r="F5" i="10"/>
  <c r="E5" i="10"/>
  <c r="D5" i="10"/>
  <c r="C5" i="10"/>
  <c r="N4" i="10"/>
  <c r="I4" i="10"/>
  <c r="F4" i="10"/>
  <c r="E4" i="10"/>
  <c r="D4" i="10"/>
  <c r="C4" i="10"/>
  <c r="N3" i="10"/>
  <c r="I3" i="10"/>
  <c r="F3" i="10"/>
  <c r="E3" i="10"/>
  <c r="D3" i="10"/>
  <c r="C3" i="10"/>
  <c r="N2" i="10"/>
  <c r="I2" i="10"/>
  <c r="F2" i="10"/>
  <c r="E2" i="10"/>
  <c r="D2" i="10"/>
  <c r="C2" i="10"/>
  <c r="H22" i="22"/>
  <c r="G22" i="22"/>
  <c r="F22" i="22"/>
  <c r="H21" i="22"/>
  <c r="G21" i="22"/>
  <c r="F21" i="22"/>
  <c r="E21" i="22"/>
  <c r="E22" i="22" s="1"/>
  <c r="H10" i="22"/>
  <c r="G10" i="22"/>
  <c r="F10" i="22"/>
  <c r="H9" i="22"/>
  <c r="G9" i="22"/>
  <c r="F9" i="22"/>
  <c r="E10" i="22"/>
  <c r="C2" i="21"/>
  <c r="B20" i="21" s="1"/>
  <c r="H3" i="7"/>
  <c r="A1" i="20"/>
  <c r="D22" i="1" l="1"/>
  <c r="AM7" i="25"/>
  <c r="Z7" i="24" s="1"/>
  <c r="AS40" i="3" s="1"/>
  <c r="AK31" i="5" s="1"/>
  <c r="AM37" i="6" s="1"/>
  <c r="AM13" i="25"/>
  <c r="Z13" i="24" s="1"/>
  <c r="AS46" i="3" s="1"/>
  <c r="AK37" i="5" s="1"/>
  <c r="AM43" i="6" s="1"/>
  <c r="AM19" i="25"/>
  <c r="Z19" i="24" s="1"/>
  <c r="AS52" i="3" s="1"/>
  <c r="AK43" i="5" s="1"/>
  <c r="AM49" i="6" s="1"/>
  <c r="AM27" i="25"/>
  <c r="Z27" i="24" s="1"/>
  <c r="AS60" i="3" s="1"/>
  <c r="AK51" i="5" s="1"/>
  <c r="AM57" i="6" s="1"/>
  <c r="AM3" i="25"/>
  <c r="Z3" i="24" s="1"/>
  <c r="AS36" i="3" s="1"/>
  <c r="AK27" i="5" s="1"/>
  <c r="AM33" i="6" s="1"/>
  <c r="AT33" i="6" s="1"/>
  <c r="AM4" i="25"/>
  <c r="Z4" i="24" s="1"/>
  <c r="AS37" i="3" s="1"/>
  <c r="AK28" i="5" s="1"/>
  <c r="AM34" i="6" s="1"/>
  <c r="AM6" i="25"/>
  <c r="Z6" i="24" s="1"/>
  <c r="AS39" i="3" s="1"/>
  <c r="AK30" i="5" s="1"/>
  <c r="AM36" i="6" s="1"/>
  <c r="AM8" i="25"/>
  <c r="Z8" i="24" s="1"/>
  <c r="AS41" i="3" s="1"/>
  <c r="AK32" i="5" s="1"/>
  <c r="AM38" i="6" s="1"/>
  <c r="AM10" i="25"/>
  <c r="Z10" i="24" s="1"/>
  <c r="AS43" i="3" s="1"/>
  <c r="AK34" i="5" s="1"/>
  <c r="AM40" i="6" s="1"/>
  <c r="AM12" i="25"/>
  <c r="Z12" i="24" s="1"/>
  <c r="AS45" i="3" s="1"/>
  <c r="AK36" i="5" s="1"/>
  <c r="AM42" i="6" s="1"/>
  <c r="AM14" i="25"/>
  <c r="Z14" i="24" s="1"/>
  <c r="AS47" i="3" s="1"/>
  <c r="AK38" i="5" s="1"/>
  <c r="AM44" i="6" s="1"/>
  <c r="AM16" i="25"/>
  <c r="Z16" i="24" s="1"/>
  <c r="AS49" i="3" s="1"/>
  <c r="AK40" i="5" s="1"/>
  <c r="AM46" i="6" s="1"/>
  <c r="AM18" i="25"/>
  <c r="Z18" i="24" s="1"/>
  <c r="AS51" i="3" s="1"/>
  <c r="AK42" i="5" s="1"/>
  <c r="AM48" i="6" s="1"/>
  <c r="AM20" i="25"/>
  <c r="Z20" i="24" s="1"/>
  <c r="AS53" i="3" s="1"/>
  <c r="AK44" i="5" s="1"/>
  <c r="AM50" i="6" s="1"/>
  <c r="AM22" i="25"/>
  <c r="Z22" i="24" s="1"/>
  <c r="AS55" i="3" s="1"/>
  <c r="AK46" i="5" s="1"/>
  <c r="AM52" i="6" s="1"/>
  <c r="AM24" i="25"/>
  <c r="Z24" i="24" s="1"/>
  <c r="AS57" i="3" s="1"/>
  <c r="AK48" i="5" s="1"/>
  <c r="AM54" i="6" s="1"/>
  <c r="AM26" i="25"/>
  <c r="Z26" i="24" s="1"/>
  <c r="AS59" i="3" s="1"/>
  <c r="AK50" i="5" s="1"/>
  <c r="AM56" i="6" s="1"/>
  <c r="AM28" i="25"/>
  <c r="Z28" i="24" s="1"/>
  <c r="AS61" i="3" s="1"/>
  <c r="AK52" i="5" s="1"/>
  <c r="AM58" i="6" s="1"/>
  <c r="AM5" i="25"/>
  <c r="Z5" i="24" s="1"/>
  <c r="AS38" i="3" s="1"/>
  <c r="AK29" i="5" s="1"/>
  <c r="AM35" i="6" s="1"/>
  <c r="AM9" i="25"/>
  <c r="Z9" i="24" s="1"/>
  <c r="AS42" i="3" s="1"/>
  <c r="AK33" i="5" s="1"/>
  <c r="AM39" i="6" s="1"/>
  <c r="AM15" i="25"/>
  <c r="AM21" i="25"/>
  <c r="Z21" i="24" s="1"/>
  <c r="AS54" i="3" s="1"/>
  <c r="AK45" i="5" s="1"/>
  <c r="AM51" i="6" s="1"/>
  <c r="AM23" i="25"/>
  <c r="Z23" i="24" s="1"/>
  <c r="AS56" i="3" s="1"/>
  <c r="AK47" i="5" s="1"/>
  <c r="AM53" i="6" s="1"/>
  <c r="AM11" i="25"/>
  <c r="Z11" i="24" s="1"/>
  <c r="AS44" i="3" s="1"/>
  <c r="AK35" i="5" s="1"/>
  <c r="AM41" i="6" s="1"/>
  <c r="AM17" i="25"/>
  <c r="Z17" i="24" s="1"/>
  <c r="AS50" i="3" s="1"/>
  <c r="AK41" i="5" s="1"/>
  <c r="AM47" i="6" s="1"/>
  <c r="AM25" i="25"/>
  <c r="Z25" i="24" s="1"/>
  <c r="AS58" i="3" s="1"/>
  <c r="AK49" i="5" s="1"/>
  <c r="AM55" i="6" s="1"/>
  <c r="AI6" i="25"/>
  <c r="V6" i="24" s="1"/>
  <c r="AI8" i="25"/>
  <c r="V8" i="24" s="1"/>
  <c r="AI10" i="25"/>
  <c r="V10" i="24" s="1"/>
  <c r="AI12" i="25"/>
  <c r="V12" i="24" s="1"/>
  <c r="AI14" i="25"/>
  <c r="V14" i="24" s="1"/>
  <c r="AI16" i="25"/>
  <c r="V16" i="24" s="1"/>
  <c r="AI18" i="25"/>
  <c r="V18" i="24" s="1"/>
  <c r="AI20" i="25"/>
  <c r="V20" i="24" s="1"/>
  <c r="AI22" i="25"/>
  <c r="V22" i="24" s="1"/>
  <c r="AI24" i="25"/>
  <c r="V24" i="24" s="1"/>
  <c r="AI26" i="25"/>
  <c r="V26" i="24" s="1"/>
  <c r="AI28" i="25"/>
  <c r="V28" i="24" s="1"/>
  <c r="AI4" i="25"/>
  <c r="V4" i="24" s="1"/>
  <c r="AI3" i="25"/>
  <c r="V3" i="24" s="1"/>
  <c r="AI5" i="25"/>
  <c r="V5" i="24" s="1"/>
  <c r="AI7" i="25"/>
  <c r="V7" i="24" s="1"/>
  <c r="AI9" i="25"/>
  <c r="V9" i="24" s="1"/>
  <c r="AI11" i="25"/>
  <c r="V11" i="24" s="1"/>
  <c r="AI13" i="25"/>
  <c r="V13" i="24" s="1"/>
  <c r="AI15" i="25"/>
  <c r="V15" i="24" s="1"/>
  <c r="AI17" i="25"/>
  <c r="V17" i="24" s="1"/>
  <c r="AI19" i="25"/>
  <c r="V19" i="24" s="1"/>
  <c r="AI21" i="25"/>
  <c r="V21" i="24" s="1"/>
  <c r="AI23" i="25"/>
  <c r="V23" i="24" s="1"/>
  <c r="AI25" i="25"/>
  <c r="V25" i="24" s="1"/>
  <c r="AI27" i="25"/>
  <c r="V27" i="24" s="1"/>
  <c r="O3" i="24"/>
  <c r="AH36" i="3" s="1"/>
  <c r="Z27" i="5" s="1"/>
  <c r="AB33" i="6" s="1"/>
  <c r="V3" i="25"/>
  <c r="AJ3" i="25" s="1"/>
  <c r="AF4" i="25"/>
  <c r="S4" i="24" s="1"/>
  <c r="S3" i="25"/>
  <c r="AG3" i="25" s="1"/>
  <c r="Z15" i="24"/>
  <c r="AS48" i="3" s="1"/>
  <c r="AK39" i="5" s="1"/>
  <c r="AM45" i="6" s="1"/>
  <c r="T3" i="25"/>
  <c r="K6" i="25"/>
  <c r="G5" i="25"/>
  <c r="AB5" i="25" s="1"/>
  <c r="H5" i="25"/>
  <c r="K5" i="25"/>
  <c r="G6" i="25"/>
  <c r="AB6" i="25" s="1"/>
  <c r="H6" i="25"/>
  <c r="G3" i="24"/>
  <c r="F6" i="25"/>
  <c r="F5" i="25"/>
  <c r="F4" i="25"/>
  <c r="F3" i="25"/>
  <c r="F3" i="24"/>
  <c r="E5" i="25"/>
  <c r="E4" i="25"/>
  <c r="E6" i="25"/>
  <c r="E3" i="25"/>
  <c r="E7" i="25"/>
  <c r="F13" i="36"/>
  <c r="F12" i="36"/>
  <c r="D21" i="1"/>
  <c r="B9" i="21"/>
  <c r="B17" i="21"/>
  <c r="B5" i="21"/>
  <c r="B21" i="21"/>
  <c r="B2" i="21"/>
  <c r="B13" i="21"/>
  <c r="B3" i="21"/>
  <c r="B7" i="21"/>
  <c r="B11" i="21"/>
  <c r="B15" i="21"/>
  <c r="B19" i="21"/>
  <c r="B23" i="21"/>
  <c r="B6" i="21"/>
  <c r="B10" i="21"/>
  <c r="B14" i="21"/>
  <c r="B18" i="21"/>
  <c r="B22" i="21"/>
  <c r="B4" i="21"/>
  <c r="B8" i="21"/>
  <c r="B12" i="21"/>
  <c r="B16" i="21"/>
  <c r="AL37" i="3" l="1"/>
  <c r="AD28" i="5" s="1"/>
  <c r="AF34" i="6" s="1"/>
  <c r="AT34" i="6" s="1"/>
  <c r="AH3" i="25"/>
  <c r="T4" i="25" s="1"/>
  <c r="AA4" i="25" s="1"/>
  <c r="AA3" i="25"/>
  <c r="N3" i="24" s="1"/>
  <c r="AG36" i="3" s="1"/>
  <c r="AF34" i="2"/>
  <c r="I12" i="36"/>
  <c r="I13" i="36"/>
  <c r="V4" i="25"/>
  <c r="AJ4" i="25" s="1"/>
  <c r="W3" i="24"/>
  <c r="Z3" i="25"/>
  <c r="M3" i="24" s="1"/>
  <c r="AC3" i="25"/>
  <c r="P3" i="24" s="1"/>
  <c r="AF5" i="25"/>
  <c r="S5" i="24" s="1"/>
  <c r="AF6" i="25"/>
  <c r="S6" i="24" s="1"/>
  <c r="E8" i="25"/>
  <c r="K7" i="25"/>
  <c r="F7" i="25"/>
  <c r="G7" i="25"/>
  <c r="AB7" i="25" s="1"/>
  <c r="H7" i="25"/>
  <c r="P3" i="25"/>
  <c r="I4" i="25"/>
  <c r="J3" i="25"/>
  <c r="I5" i="25"/>
  <c r="I3" i="25"/>
  <c r="I7" i="25"/>
  <c r="Q3" i="25"/>
  <c r="J4" i="25"/>
  <c r="J5" i="25"/>
  <c r="J6" i="25"/>
  <c r="I6" i="25"/>
  <c r="D23" i="1"/>
  <c r="F9" i="1"/>
  <c r="F8" i="1"/>
  <c r="C10" i="4"/>
  <c r="AP36" i="3" l="1"/>
  <c r="AH27" i="5" s="1"/>
  <c r="AJ33" i="6" s="1"/>
  <c r="AF3" i="24"/>
  <c r="AF36" i="3"/>
  <c r="AF35" i="2"/>
  <c r="AL38" i="3"/>
  <c r="AD29" i="5" s="1"/>
  <c r="AF35" i="6" s="1"/>
  <c r="AT35" i="6" s="1"/>
  <c r="X3" i="25"/>
  <c r="AL3" i="25" s="1"/>
  <c r="AL39" i="3"/>
  <c r="AD30" i="5" s="1"/>
  <c r="AF36" i="6" s="1"/>
  <c r="AT36" i="6" s="1"/>
  <c r="AH4" i="25"/>
  <c r="T5" i="25" s="1"/>
  <c r="U3" i="24"/>
  <c r="S4" i="25"/>
  <c r="T3" i="24"/>
  <c r="AC4" i="25"/>
  <c r="P4" i="24" s="1"/>
  <c r="AF7" i="25"/>
  <c r="S7" i="24" s="1"/>
  <c r="W3" i="25"/>
  <c r="H8" i="25"/>
  <c r="F8" i="25"/>
  <c r="J7" i="25"/>
  <c r="I8" i="25"/>
  <c r="K8" i="25"/>
  <c r="G8" i="25"/>
  <c r="AB8" i="25" s="1"/>
  <c r="H30" i="20"/>
  <c r="D3" i="24"/>
  <c r="C36" i="3" s="1"/>
  <c r="D36" i="3" l="1"/>
  <c r="F36" i="3" s="1"/>
  <c r="I36" i="3" s="1"/>
  <c r="E36" i="3"/>
  <c r="G36" i="3" s="1"/>
  <c r="J36" i="3" s="1"/>
  <c r="H36" i="3"/>
  <c r="K36" i="3" s="1"/>
  <c r="AF36" i="2"/>
  <c r="AF37" i="2"/>
  <c r="AL40" i="3"/>
  <c r="AD31" i="5" s="1"/>
  <c r="AF37" i="6" s="1"/>
  <c r="AT37" i="6" s="1"/>
  <c r="AK3" i="25"/>
  <c r="Z4" i="25"/>
  <c r="AG4" i="25"/>
  <c r="S5" i="25" s="1"/>
  <c r="AH5" i="25"/>
  <c r="T6" i="25" s="1"/>
  <c r="U4" i="24"/>
  <c r="AA5" i="25"/>
  <c r="V5" i="25"/>
  <c r="W4" i="24"/>
  <c r="AD3" i="25"/>
  <c r="AF8" i="25"/>
  <c r="S8" i="24" s="1"/>
  <c r="J8" i="25"/>
  <c r="K9" i="25"/>
  <c r="G9" i="25"/>
  <c r="AB9" i="25" s="1"/>
  <c r="E9" i="25"/>
  <c r="H9" i="25"/>
  <c r="F9" i="25"/>
  <c r="G10" i="25"/>
  <c r="AB10" i="25" s="1"/>
  <c r="C20" i="6"/>
  <c r="H29" i="20"/>
  <c r="I29" i="20" s="1"/>
  <c r="J29" i="20" s="1"/>
  <c r="C11" i="4"/>
  <c r="K3" i="24"/>
  <c r="H26" i="20"/>
  <c r="I26" i="20" s="1"/>
  <c r="J26" i="20" s="1"/>
  <c r="C21" i="3"/>
  <c r="C22" i="3" s="1"/>
  <c r="C4" i="25"/>
  <c r="B4" i="24"/>
  <c r="C4" i="24" s="1"/>
  <c r="U5" i="24" l="1"/>
  <c r="L36" i="3"/>
  <c r="AP37" i="3"/>
  <c r="AH28" i="5" s="1"/>
  <c r="AJ34" i="6" s="1"/>
  <c r="AF4" i="24"/>
  <c r="AF38" i="2"/>
  <c r="AL41" i="3"/>
  <c r="AD32" i="5" s="1"/>
  <c r="AF38" i="6" s="1"/>
  <c r="AT38" i="6" s="1"/>
  <c r="AH6" i="25"/>
  <c r="T7" i="25" s="1"/>
  <c r="AG5" i="25"/>
  <c r="S6" i="25" s="1"/>
  <c r="AJ5" i="25"/>
  <c r="T4" i="24"/>
  <c r="Z5" i="25"/>
  <c r="AA6" i="25"/>
  <c r="AC5" i="25"/>
  <c r="P5" i="24" s="1"/>
  <c r="W4" i="25"/>
  <c r="AK4" i="25" s="1"/>
  <c r="X3" i="24"/>
  <c r="AF9" i="25"/>
  <c r="S9" i="24" s="1"/>
  <c r="C28" i="4"/>
  <c r="C32" i="4"/>
  <c r="C29" i="4"/>
  <c r="C27" i="4"/>
  <c r="C30" i="4"/>
  <c r="C31" i="4"/>
  <c r="J9" i="25"/>
  <c r="H11" i="25"/>
  <c r="E10" i="25"/>
  <c r="K10" i="25"/>
  <c r="H10" i="25"/>
  <c r="I9" i="25"/>
  <c r="F10" i="25"/>
  <c r="E4" i="24"/>
  <c r="G4" i="24"/>
  <c r="F4" i="24"/>
  <c r="AO4" i="25"/>
  <c r="AN4" i="25"/>
  <c r="C5" i="25"/>
  <c r="D4" i="25"/>
  <c r="C29" i="20"/>
  <c r="C21" i="6"/>
  <c r="D29" i="20" s="1"/>
  <c r="D27" i="20"/>
  <c r="H27" i="20"/>
  <c r="I27" i="20" s="1"/>
  <c r="J27" i="20" s="1"/>
  <c r="I30" i="20"/>
  <c r="J30" i="20" s="1"/>
  <c r="C12" i="4"/>
  <c r="D26" i="20" s="1"/>
  <c r="C26" i="20"/>
  <c r="B5" i="24"/>
  <c r="C5" i="24" s="1"/>
  <c r="J3" i="24"/>
  <c r="AQ36" i="3" l="1"/>
  <c r="AI27" i="5" s="1"/>
  <c r="AK33" i="6" s="1"/>
  <c r="AA3" i="24"/>
  <c r="AB3" i="24"/>
  <c r="AI3" i="24" s="1"/>
  <c r="M4" i="24"/>
  <c r="U6" i="24"/>
  <c r="AF39" i="2"/>
  <c r="AL42" i="3"/>
  <c r="AD33" i="5" s="1"/>
  <c r="AF39" i="6" s="1"/>
  <c r="AT39" i="6" s="1"/>
  <c r="AG6" i="25"/>
  <c r="T6" i="24" s="1"/>
  <c r="T5" i="24"/>
  <c r="AH7" i="25"/>
  <c r="U7" i="24" s="1"/>
  <c r="AA7" i="25"/>
  <c r="AD4" i="25"/>
  <c r="Q3" i="24"/>
  <c r="V6" i="25"/>
  <c r="W5" i="24"/>
  <c r="N4" i="24"/>
  <c r="AG37" i="3" s="1"/>
  <c r="Z6" i="25"/>
  <c r="AF10" i="25"/>
  <c r="S10" i="24" s="1"/>
  <c r="I10" i="25"/>
  <c r="G11" i="25"/>
  <c r="AB11" i="25" s="1"/>
  <c r="K11" i="25"/>
  <c r="F11" i="25"/>
  <c r="E11" i="25"/>
  <c r="J10" i="25"/>
  <c r="E5" i="24"/>
  <c r="F5" i="24"/>
  <c r="G5" i="24"/>
  <c r="K5" i="24" s="1"/>
  <c r="C6" i="25"/>
  <c r="AO5" i="25"/>
  <c r="AN5" i="25"/>
  <c r="D5" i="25"/>
  <c r="C27" i="20"/>
  <c r="G33" i="6"/>
  <c r="D4" i="24"/>
  <c r="H4" i="24"/>
  <c r="K4" i="24"/>
  <c r="H5" i="24"/>
  <c r="B7" i="24"/>
  <c r="C7" i="24" s="1"/>
  <c r="D5" i="24"/>
  <c r="B6" i="24"/>
  <c r="C6" i="24" s="1"/>
  <c r="AP38" i="3" l="1"/>
  <c r="AH29" i="5" s="1"/>
  <c r="AJ35" i="6" s="1"/>
  <c r="AF5" i="24"/>
  <c r="AF37" i="3"/>
  <c r="T8" i="25"/>
  <c r="AA8" i="25" s="1"/>
  <c r="M5" i="24"/>
  <c r="AF40" i="2"/>
  <c r="AL43" i="3"/>
  <c r="AD34" i="5" s="1"/>
  <c r="AF40" i="6" s="1"/>
  <c r="AT40" i="6" s="1"/>
  <c r="J33" i="6"/>
  <c r="Y33" i="6"/>
  <c r="S7" i="25"/>
  <c r="Z7" i="25" s="1"/>
  <c r="AJ6" i="25"/>
  <c r="O5" i="24"/>
  <c r="AH38" i="3" s="1"/>
  <c r="Z29" i="5" s="1"/>
  <c r="AB35" i="6" s="1"/>
  <c r="O4" i="24"/>
  <c r="AH37" i="3" s="1"/>
  <c r="Z28" i="5" s="1"/>
  <c r="AB34" i="6" s="1"/>
  <c r="AC6" i="25"/>
  <c r="P6" i="24" s="1"/>
  <c r="N5" i="24"/>
  <c r="AG38" i="3" s="1"/>
  <c r="W5" i="25"/>
  <c r="X4" i="24"/>
  <c r="AF11" i="25"/>
  <c r="S11" i="24" s="1"/>
  <c r="I11" i="25"/>
  <c r="J11" i="25"/>
  <c r="E12" i="25"/>
  <c r="E13" i="25"/>
  <c r="F12" i="25"/>
  <c r="H12" i="25"/>
  <c r="K12" i="25"/>
  <c r="G12" i="25"/>
  <c r="AB12" i="25" s="1"/>
  <c r="E7" i="24"/>
  <c r="E6" i="24"/>
  <c r="C7" i="25"/>
  <c r="AO6" i="25"/>
  <c r="AN6" i="25"/>
  <c r="D6" i="25"/>
  <c r="G6" i="24"/>
  <c r="N6" i="24" s="1"/>
  <c r="AG39" i="3" s="1"/>
  <c r="F6" i="24"/>
  <c r="G7" i="24"/>
  <c r="K7" i="24" s="1"/>
  <c r="F7" i="24"/>
  <c r="J5" i="24"/>
  <c r="AA5" i="24" s="1"/>
  <c r="J4" i="24"/>
  <c r="Q4" i="24" s="1"/>
  <c r="H7" i="24"/>
  <c r="B8" i="24"/>
  <c r="C8" i="24" s="1"/>
  <c r="AH8" i="25" l="1"/>
  <c r="T9" i="25" s="1"/>
  <c r="U33" i="6"/>
  <c r="AF38" i="3"/>
  <c r="AQ37" i="3"/>
  <c r="AI28" i="5" s="1"/>
  <c r="AK34" i="6" s="1"/>
  <c r="AA4" i="24"/>
  <c r="AB5" i="24"/>
  <c r="AB4" i="24"/>
  <c r="AG4" i="24" s="1"/>
  <c r="AF41" i="2"/>
  <c r="AL44" i="3"/>
  <c r="AD35" i="5" s="1"/>
  <c r="AF41" i="6" s="1"/>
  <c r="AT41" i="6" s="1"/>
  <c r="AG7" i="25"/>
  <c r="T7" i="24" s="1"/>
  <c r="AK5" i="25"/>
  <c r="M7" i="24"/>
  <c r="N7" i="24"/>
  <c r="AG40" i="3" s="1"/>
  <c r="M6" i="24"/>
  <c r="V7" i="25"/>
  <c r="W6" i="24"/>
  <c r="AD5" i="25"/>
  <c r="AF12" i="25"/>
  <c r="S12" i="24" s="1"/>
  <c r="I12" i="25"/>
  <c r="J12" i="25"/>
  <c r="I13" i="25"/>
  <c r="F14" i="25"/>
  <c r="G13" i="25"/>
  <c r="AB13" i="25" s="1"/>
  <c r="H13" i="25"/>
  <c r="F13" i="25"/>
  <c r="K13" i="25"/>
  <c r="E8" i="24"/>
  <c r="C8" i="25"/>
  <c r="AN7" i="25"/>
  <c r="AO7" i="25"/>
  <c r="D7" i="25"/>
  <c r="G8" i="24"/>
  <c r="N8" i="24" s="1"/>
  <c r="AG41" i="3" s="1"/>
  <c r="F8" i="24"/>
  <c r="J7" i="24"/>
  <c r="AA7" i="24" s="1"/>
  <c r="H8" i="24"/>
  <c r="K6" i="24"/>
  <c r="H6" i="24"/>
  <c r="D7" i="24"/>
  <c r="B9" i="24"/>
  <c r="C9" i="24" s="1"/>
  <c r="D6" i="24"/>
  <c r="AG5" i="24" l="1"/>
  <c r="AH4" i="24"/>
  <c r="M3" i="23" s="1"/>
  <c r="U8" i="24"/>
  <c r="AF6" i="24"/>
  <c r="AF39" i="3"/>
  <c r="AF40" i="3"/>
  <c r="AP39" i="3"/>
  <c r="AH30" i="5" s="1"/>
  <c r="AJ36" i="6" s="1"/>
  <c r="AF42" i="2"/>
  <c r="AL45" i="3"/>
  <c r="AD36" i="5" s="1"/>
  <c r="AF42" i="6" s="1"/>
  <c r="AT42" i="6" s="1"/>
  <c r="S8" i="25"/>
  <c r="AG8" i="25" s="1"/>
  <c r="T8" i="24" s="1"/>
  <c r="AJ7" i="25"/>
  <c r="AH9" i="25"/>
  <c r="Q5" i="24"/>
  <c r="O7" i="24"/>
  <c r="AH40" i="3" s="1"/>
  <c r="Z31" i="5" s="1"/>
  <c r="AB37" i="6" s="1"/>
  <c r="O8" i="24"/>
  <c r="AH41" i="3" s="1"/>
  <c r="Z32" i="5" s="1"/>
  <c r="AB38" i="6" s="1"/>
  <c r="O6" i="24"/>
  <c r="AH39" i="3" s="1"/>
  <c r="Z30" i="5" s="1"/>
  <c r="AB36" i="6" s="1"/>
  <c r="AC7" i="25"/>
  <c r="W6" i="25"/>
  <c r="X5" i="24"/>
  <c r="AA9" i="25"/>
  <c r="AF13" i="25"/>
  <c r="S13" i="24" s="1"/>
  <c r="J13" i="25"/>
  <c r="E15" i="25"/>
  <c r="H14" i="25"/>
  <c r="K14" i="25"/>
  <c r="G14" i="25"/>
  <c r="AB14" i="25" s="1"/>
  <c r="E14" i="25"/>
  <c r="J14" i="25"/>
  <c r="K8" i="24"/>
  <c r="E9" i="24"/>
  <c r="G9" i="24"/>
  <c r="F9" i="24"/>
  <c r="C9" i="25"/>
  <c r="AO8" i="25"/>
  <c r="AN8" i="25"/>
  <c r="D8" i="25"/>
  <c r="J6" i="24"/>
  <c r="J8" i="24"/>
  <c r="B10" i="24"/>
  <c r="C10" i="24" s="1"/>
  <c r="D8" i="24"/>
  <c r="AH5" i="24" l="1"/>
  <c r="M4" i="23" s="1"/>
  <c r="AI4" i="24"/>
  <c r="AA8" i="24"/>
  <c r="AB8" i="24"/>
  <c r="AB6" i="24"/>
  <c r="AG6" i="24" s="1"/>
  <c r="AB7" i="24"/>
  <c r="AQ38" i="3"/>
  <c r="AI29" i="5" s="1"/>
  <c r="AK35" i="6" s="1"/>
  <c r="AA6" i="24"/>
  <c r="Z8" i="25"/>
  <c r="M8" i="24" s="1"/>
  <c r="AF43" i="2"/>
  <c r="AL46" i="3"/>
  <c r="AD37" i="5" s="1"/>
  <c r="AF43" i="6" s="1"/>
  <c r="AT43" i="6" s="1"/>
  <c r="AK6" i="25"/>
  <c r="S9" i="25"/>
  <c r="P7" i="24"/>
  <c r="N9" i="24"/>
  <c r="AG42" i="3" s="1"/>
  <c r="T10" i="25"/>
  <c r="U9" i="24"/>
  <c r="AD6" i="25"/>
  <c r="V8" i="25"/>
  <c r="W7" i="24"/>
  <c r="AF14" i="25"/>
  <c r="S14" i="24" s="1"/>
  <c r="I14" i="25"/>
  <c r="F15" i="25"/>
  <c r="I15" i="25"/>
  <c r="G15" i="25"/>
  <c r="AB15" i="25" s="1"/>
  <c r="K15" i="25"/>
  <c r="H15" i="25"/>
  <c r="E10" i="24"/>
  <c r="F10" i="24"/>
  <c r="G10" i="24"/>
  <c r="K10" i="24" s="1"/>
  <c r="C10" i="25"/>
  <c r="AO9" i="25"/>
  <c r="AN9" i="25"/>
  <c r="D9" i="25"/>
  <c r="H9" i="24"/>
  <c r="K9" i="24"/>
  <c r="H10" i="24"/>
  <c r="D9" i="24"/>
  <c r="B11" i="24"/>
  <c r="C11" i="24" s="1"/>
  <c r="AG7" i="24" l="1"/>
  <c r="AG8" i="24"/>
  <c r="AH6" i="24"/>
  <c r="AI5" i="24"/>
  <c r="AF7" i="24"/>
  <c r="AF41" i="3"/>
  <c r="AP40" i="3"/>
  <c r="AH31" i="5" s="1"/>
  <c r="AJ37" i="6" s="1"/>
  <c r="AF44" i="2"/>
  <c r="AL47" i="3"/>
  <c r="AD38" i="5" s="1"/>
  <c r="AF44" i="6" s="1"/>
  <c r="AT44" i="6" s="1"/>
  <c r="AG9" i="25"/>
  <c r="T9" i="24" s="1"/>
  <c r="AH10" i="25"/>
  <c r="AJ8" i="25"/>
  <c r="Z9" i="25"/>
  <c r="M9" i="24" s="1"/>
  <c r="Q6" i="24"/>
  <c r="O10" i="24"/>
  <c r="AH43" i="3" s="1"/>
  <c r="Z34" i="5" s="1"/>
  <c r="AB40" i="6" s="1"/>
  <c r="O9" i="24"/>
  <c r="AH42" i="3" s="1"/>
  <c r="Z33" i="5" s="1"/>
  <c r="AB39" i="6" s="1"/>
  <c r="AC8" i="25"/>
  <c r="W7" i="25"/>
  <c r="X6" i="24"/>
  <c r="AA10" i="25"/>
  <c r="N10" i="24" s="1"/>
  <c r="AG43" i="3" s="1"/>
  <c r="AF15" i="25"/>
  <c r="S15" i="24" s="1"/>
  <c r="J15" i="25"/>
  <c r="G16" i="25"/>
  <c r="AB16" i="25" s="1"/>
  <c r="K16" i="25"/>
  <c r="H16" i="25"/>
  <c r="E16" i="25"/>
  <c r="F16" i="25"/>
  <c r="E11" i="24"/>
  <c r="G11" i="24"/>
  <c r="F11" i="24"/>
  <c r="C11" i="25"/>
  <c r="AO10" i="25"/>
  <c r="AN10" i="25"/>
  <c r="D10" i="25"/>
  <c r="J9" i="24"/>
  <c r="AA9" i="24" s="1"/>
  <c r="J10" i="24"/>
  <c r="AA10" i="24" s="1"/>
  <c r="B12" i="24"/>
  <c r="C12" i="24" s="1"/>
  <c r="D10" i="24"/>
  <c r="B14" i="24"/>
  <c r="C14" i="24" s="1"/>
  <c r="AI6" i="24" l="1"/>
  <c r="M5" i="23"/>
  <c r="AH7" i="24"/>
  <c r="M6" i="23" s="1"/>
  <c r="AF42" i="3"/>
  <c r="AB9" i="24"/>
  <c r="AG9" i="24" s="1"/>
  <c r="AQ39" i="3"/>
  <c r="AI30" i="5" s="1"/>
  <c r="AK36" i="6" s="1"/>
  <c r="AB10" i="24"/>
  <c r="AF45" i="2"/>
  <c r="AL48" i="3"/>
  <c r="AD39" i="5" s="1"/>
  <c r="AF45" i="6" s="1"/>
  <c r="AT45" i="6" s="1"/>
  <c r="AK7" i="25"/>
  <c r="S10" i="25"/>
  <c r="P8" i="24"/>
  <c r="AD7" i="25"/>
  <c r="V9" i="25"/>
  <c r="W8" i="24"/>
  <c r="T11" i="25"/>
  <c r="AH11" i="25" s="1"/>
  <c r="U10" i="24"/>
  <c r="I16" i="25"/>
  <c r="AF16" i="25"/>
  <c r="S16" i="24" s="1"/>
  <c r="J16" i="25"/>
  <c r="H17" i="25"/>
  <c r="G17" i="25"/>
  <c r="AB17" i="25" s="1"/>
  <c r="K17" i="25"/>
  <c r="E17" i="25"/>
  <c r="F17" i="25"/>
  <c r="E12" i="24"/>
  <c r="F14" i="24"/>
  <c r="G14" i="24"/>
  <c r="C12" i="25"/>
  <c r="AN11" i="25"/>
  <c r="AO11" i="25"/>
  <c r="D11" i="25"/>
  <c r="F12" i="24"/>
  <c r="G12" i="24"/>
  <c r="K11" i="24"/>
  <c r="H11" i="24"/>
  <c r="H12" i="24"/>
  <c r="H14" i="24"/>
  <c r="D11" i="24"/>
  <c r="B13" i="24"/>
  <c r="C13" i="24" s="1"/>
  <c r="AG10" i="24" l="1"/>
  <c r="AH8" i="24"/>
  <c r="M7" i="23" s="1"/>
  <c r="AI7" i="24"/>
  <c r="AF8" i="24"/>
  <c r="AF46" i="2"/>
  <c r="AL49" i="3"/>
  <c r="AD40" i="5" s="1"/>
  <c r="AF46" i="6" s="1"/>
  <c r="AT46" i="6" s="1"/>
  <c r="AG10" i="25"/>
  <c r="S11" i="25" s="1"/>
  <c r="AG11" i="25" s="1"/>
  <c r="Z10" i="25"/>
  <c r="M10" i="24" s="1"/>
  <c r="AJ9" i="25"/>
  <c r="AP41" i="3"/>
  <c r="AH32" i="5" s="1"/>
  <c r="AJ38" i="6" s="1"/>
  <c r="Q7" i="24"/>
  <c r="O12" i="24"/>
  <c r="AH45" i="3" s="1"/>
  <c r="Z36" i="5" s="1"/>
  <c r="AB42" i="6" s="1"/>
  <c r="O11" i="24"/>
  <c r="AH44" i="3" s="1"/>
  <c r="Z35" i="5" s="1"/>
  <c r="AB41" i="6" s="1"/>
  <c r="W8" i="25"/>
  <c r="X7" i="24"/>
  <c r="AC9" i="25"/>
  <c r="AA11" i="25"/>
  <c r="N11" i="24" s="1"/>
  <c r="AG44" i="3" s="1"/>
  <c r="AF17" i="25"/>
  <c r="S17" i="24" s="1"/>
  <c r="E13" i="24"/>
  <c r="J17" i="25"/>
  <c r="I17" i="25"/>
  <c r="K18" i="25"/>
  <c r="H18" i="25"/>
  <c r="G18" i="25"/>
  <c r="AB18" i="25" s="1"/>
  <c r="E18" i="25"/>
  <c r="F18" i="25"/>
  <c r="K12" i="24"/>
  <c r="K14" i="24"/>
  <c r="C13" i="25"/>
  <c r="AN12" i="25"/>
  <c r="AO12" i="25"/>
  <c r="D12" i="25"/>
  <c r="J12" i="24"/>
  <c r="J14" i="24"/>
  <c r="J11" i="24"/>
  <c r="AB11" i="24" s="1"/>
  <c r="AG11" i="24" s="1"/>
  <c r="B15" i="24"/>
  <c r="C15" i="24" s="1"/>
  <c r="B18" i="24"/>
  <c r="C18" i="24" s="1"/>
  <c r="D12" i="24"/>
  <c r="AH9" i="24" l="1"/>
  <c r="M8" i="23" s="1"/>
  <c r="AI8" i="24"/>
  <c r="AF43" i="3"/>
  <c r="AA14" i="24"/>
  <c r="AA12" i="24"/>
  <c r="AA11" i="24"/>
  <c r="AB12" i="24"/>
  <c r="AG12" i="24" s="1"/>
  <c r="AQ40" i="3"/>
  <c r="AI31" i="5" s="1"/>
  <c r="AK37" i="6" s="1"/>
  <c r="T10" i="24"/>
  <c r="AF47" i="2"/>
  <c r="AL50" i="3"/>
  <c r="AD41" i="5" s="1"/>
  <c r="AF47" i="6" s="1"/>
  <c r="AT47" i="6" s="1"/>
  <c r="AK8" i="25"/>
  <c r="P9" i="24"/>
  <c r="G13" i="24"/>
  <c r="K13" i="24" s="1"/>
  <c r="T12" i="25"/>
  <c r="AH12" i="25" s="1"/>
  <c r="U11" i="24"/>
  <c r="Z11" i="25"/>
  <c r="AD8" i="25"/>
  <c r="V10" i="25"/>
  <c r="AJ10" i="25" s="1"/>
  <c r="W9" i="24"/>
  <c r="AF18" i="25"/>
  <c r="S18" i="24" s="1"/>
  <c r="E14" i="24"/>
  <c r="F13" i="24"/>
  <c r="E15" i="24"/>
  <c r="J18" i="25"/>
  <c r="G19" i="25"/>
  <c r="AB19" i="25" s="1"/>
  <c r="H19" i="25"/>
  <c r="K19" i="25"/>
  <c r="E19" i="25"/>
  <c r="F19" i="25"/>
  <c r="I18" i="25"/>
  <c r="F18" i="24"/>
  <c r="G18" i="24"/>
  <c r="C14" i="25"/>
  <c r="AO13" i="25"/>
  <c r="AN13" i="25"/>
  <c r="D13" i="25"/>
  <c r="H18" i="24"/>
  <c r="H13" i="24"/>
  <c r="D13" i="24"/>
  <c r="B19" i="24"/>
  <c r="C19" i="24" s="1"/>
  <c r="B17" i="24"/>
  <c r="C17" i="24" s="1"/>
  <c r="B16" i="24"/>
  <c r="C16" i="24" s="1"/>
  <c r="AH10" i="24" l="1"/>
  <c r="M9" i="23" s="1"/>
  <c r="AI9" i="24"/>
  <c r="AF9" i="24"/>
  <c r="AF48" i="2"/>
  <c r="AL51" i="3"/>
  <c r="AD42" i="5" s="1"/>
  <c r="AF48" i="6" s="1"/>
  <c r="AT48" i="6" s="1"/>
  <c r="AP42" i="3"/>
  <c r="AH33" i="5" s="1"/>
  <c r="AJ39" i="6" s="1"/>
  <c r="M11" i="24"/>
  <c r="Q8" i="24"/>
  <c r="G15" i="24"/>
  <c r="K15" i="24" s="1"/>
  <c r="H15" i="24"/>
  <c r="O15" i="24" s="1"/>
  <c r="AH48" i="3" s="1"/>
  <c r="Z39" i="5" s="1"/>
  <c r="AB45" i="6" s="1"/>
  <c r="O14" i="24"/>
  <c r="AH47" i="3" s="1"/>
  <c r="Z38" i="5" s="1"/>
  <c r="AB44" i="6" s="1"/>
  <c r="O13" i="24"/>
  <c r="AH46" i="3" s="1"/>
  <c r="Z37" i="5" s="1"/>
  <c r="AB43" i="6" s="1"/>
  <c r="F15" i="24"/>
  <c r="S12" i="25"/>
  <c r="AG12" i="25" s="1"/>
  <c r="T11" i="24"/>
  <c r="AC10" i="25"/>
  <c r="W9" i="25"/>
  <c r="X8" i="24"/>
  <c r="AA12" i="25"/>
  <c r="N12" i="24" s="1"/>
  <c r="AG45" i="3" s="1"/>
  <c r="AF19" i="25"/>
  <c r="S19" i="24" s="1"/>
  <c r="E16" i="24"/>
  <c r="J19" i="25"/>
  <c r="I19" i="25"/>
  <c r="G20" i="25"/>
  <c r="AB20" i="25" s="1"/>
  <c r="H20" i="25"/>
  <c r="K20" i="25"/>
  <c r="E20" i="25"/>
  <c r="F20" i="25"/>
  <c r="K18" i="24"/>
  <c r="C15" i="25"/>
  <c r="AO14" i="25"/>
  <c r="AN14" i="25"/>
  <c r="D14" i="25"/>
  <c r="F19" i="24"/>
  <c r="G19" i="24"/>
  <c r="G17" i="24"/>
  <c r="F17" i="24"/>
  <c r="J13" i="24"/>
  <c r="AA13" i="24" s="1"/>
  <c r="J18" i="24"/>
  <c r="H19" i="24"/>
  <c r="H17" i="24"/>
  <c r="D14" i="24"/>
  <c r="B20" i="24"/>
  <c r="C20" i="24" s="1"/>
  <c r="AH11" i="24" l="1"/>
  <c r="M10" i="23" s="1"/>
  <c r="AI10" i="24"/>
  <c r="AA18" i="24"/>
  <c r="AF44" i="3"/>
  <c r="AB14" i="24"/>
  <c r="J15" i="24"/>
  <c r="AB15" i="24" s="1"/>
  <c r="AB13" i="24"/>
  <c r="AG13" i="24" s="1"/>
  <c r="AQ41" i="3"/>
  <c r="AI32" i="5" s="1"/>
  <c r="AK38" i="6" s="1"/>
  <c r="AF49" i="2"/>
  <c r="AL52" i="3"/>
  <c r="AD43" i="5" s="1"/>
  <c r="AF49" i="6" s="1"/>
  <c r="AT49" i="6" s="1"/>
  <c r="AK9" i="25"/>
  <c r="P10" i="24"/>
  <c r="E17" i="24"/>
  <c r="E19" i="24"/>
  <c r="Z12" i="25"/>
  <c r="AD9" i="25"/>
  <c r="V11" i="25"/>
  <c r="AJ11" i="25" s="1"/>
  <c r="W10" i="24"/>
  <c r="T13" i="25"/>
  <c r="AH13" i="25" s="1"/>
  <c r="U12" i="24"/>
  <c r="I20" i="25"/>
  <c r="AF20" i="25"/>
  <c r="S20" i="24" s="1"/>
  <c r="F16" i="24"/>
  <c r="H16" i="24"/>
  <c r="O17" i="24" s="1"/>
  <c r="AH50" i="3" s="1"/>
  <c r="Z41" i="5" s="1"/>
  <c r="AB47" i="6" s="1"/>
  <c r="G16" i="24"/>
  <c r="K16" i="24" s="1"/>
  <c r="E18" i="24"/>
  <c r="E20" i="24"/>
  <c r="B22" i="24"/>
  <c r="C22" i="24" s="1"/>
  <c r="H21" i="25"/>
  <c r="K21" i="25"/>
  <c r="G21" i="25"/>
  <c r="AB21" i="25" s="1"/>
  <c r="E21" i="25"/>
  <c r="F21" i="25"/>
  <c r="J20" i="25"/>
  <c r="K19" i="24"/>
  <c r="K17" i="24"/>
  <c r="C16" i="25"/>
  <c r="AN15" i="25"/>
  <c r="AO15" i="25"/>
  <c r="D15" i="25"/>
  <c r="J19" i="24"/>
  <c r="J17" i="24"/>
  <c r="B21" i="24"/>
  <c r="C21" i="24" s="1"/>
  <c r="D15" i="24"/>
  <c r="AG15" i="24" l="1"/>
  <c r="AG14" i="24"/>
  <c r="AH12" i="24"/>
  <c r="M11" i="23" s="1"/>
  <c r="AI11" i="24"/>
  <c r="AF10" i="24"/>
  <c r="AA15" i="24"/>
  <c r="AA17" i="24"/>
  <c r="AA19" i="24"/>
  <c r="J16" i="24"/>
  <c r="AB18" i="24" s="1"/>
  <c r="AF50" i="2"/>
  <c r="AL53" i="3"/>
  <c r="AD44" i="5" s="1"/>
  <c r="AF50" i="6" s="1"/>
  <c r="AT50" i="6" s="1"/>
  <c r="AP43" i="3"/>
  <c r="AH34" i="5" s="1"/>
  <c r="AJ40" i="6" s="1"/>
  <c r="M12" i="24"/>
  <c r="Q9" i="24"/>
  <c r="F20" i="24"/>
  <c r="H20" i="24"/>
  <c r="O20" i="24" s="1"/>
  <c r="AH53" i="3" s="1"/>
  <c r="Z44" i="5" s="1"/>
  <c r="AB50" i="6" s="1"/>
  <c r="G20" i="24"/>
  <c r="K20" i="24" s="1"/>
  <c r="O16" i="24"/>
  <c r="AH49" i="3" s="1"/>
  <c r="Z40" i="5" s="1"/>
  <c r="AB46" i="6" s="1"/>
  <c r="O18" i="24"/>
  <c r="AH51" i="3" s="1"/>
  <c r="Z42" i="5" s="1"/>
  <c r="AB48" i="6" s="1"/>
  <c r="O19" i="24"/>
  <c r="AH52" i="3" s="1"/>
  <c r="Z43" i="5" s="1"/>
  <c r="AB49" i="6" s="1"/>
  <c r="S13" i="25"/>
  <c r="AG13" i="25" s="1"/>
  <c r="T12" i="24"/>
  <c r="AC11" i="25"/>
  <c r="W10" i="25"/>
  <c r="AK10" i="25" s="1"/>
  <c r="X9" i="24"/>
  <c r="AA13" i="25"/>
  <c r="N13" i="24" s="1"/>
  <c r="AG46" i="3" s="1"/>
  <c r="AF21" i="25"/>
  <c r="S21" i="24" s="1"/>
  <c r="E21" i="24"/>
  <c r="J21" i="25"/>
  <c r="B23" i="24"/>
  <c r="C23" i="24" s="1"/>
  <c r="H22" i="25"/>
  <c r="G22" i="25"/>
  <c r="AB22" i="25" s="1"/>
  <c r="K22" i="25"/>
  <c r="F22" i="25"/>
  <c r="E22" i="25"/>
  <c r="I21" i="25"/>
  <c r="F22" i="24"/>
  <c r="G22" i="24"/>
  <c r="C17" i="25"/>
  <c r="AO16" i="25"/>
  <c r="AN16" i="25"/>
  <c r="D16" i="25"/>
  <c r="H22" i="24"/>
  <c r="D16" i="24"/>
  <c r="AH13" i="24" l="1"/>
  <c r="M12" i="23" s="1"/>
  <c r="AI12" i="24"/>
  <c r="AF45" i="3"/>
  <c r="AB19" i="24"/>
  <c r="AG19" i="24" s="1"/>
  <c r="J20" i="24"/>
  <c r="AA20" i="24" s="1"/>
  <c r="AB16" i="24"/>
  <c r="AG16" i="24" s="1"/>
  <c r="AQ42" i="3"/>
  <c r="AI33" i="5" s="1"/>
  <c r="AK39" i="6" s="1"/>
  <c r="AA16" i="24"/>
  <c r="AB17" i="24"/>
  <c r="AF51" i="2"/>
  <c r="AL54" i="3"/>
  <c r="AD45" i="5" s="1"/>
  <c r="AF51" i="6" s="1"/>
  <c r="AT51" i="6" s="1"/>
  <c r="E22" i="24"/>
  <c r="F21" i="24"/>
  <c r="G21" i="24"/>
  <c r="K21" i="24" s="1"/>
  <c r="P11" i="24"/>
  <c r="T14" i="25"/>
  <c r="AH14" i="25" s="1"/>
  <c r="U13" i="24"/>
  <c r="Z13" i="25"/>
  <c r="V12" i="25"/>
  <c r="AJ12" i="25" s="1"/>
  <c r="W11" i="24"/>
  <c r="AD10" i="25"/>
  <c r="AF22" i="25"/>
  <c r="S22" i="24" s="1"/>
  <c r="H21" i="24"/>
  <c r="O21" i="24" s="1"/>
  <c r="AH54" i="3" s="1"/>
  <c r="Z45" i="5" s="1"/>
  <c r="AB51" i="6" s="1"/>
  <c r="E23" i="24"/>
  <c r="B24" i="24"/>
  <c r="C24" i="24" s="1"/>
  <c r="G23" i="25"/>
  <c r="AB23" i="25" s="1"/>
  <c r="H23" i="25"/>
  <c r="K23" i="25"/>
  <c r="E23" i="25"/>
  <c r="F23" i="25"/>
  <c r="I22" i="25"/>
  <c r="J22" i="25"/>
  <c r="K22" i="24"/>
  <c r="C18" i="25"/>
  <c r="AO17" i="25"/>
  <c r="AN17" i="25"/>
  <c r="D17" i="25"/>
  <c r="J22" i="24"/>
  <c r="D17" i="24"/>
  <c r="AG17" i="24" l="1"/>
  <c r="AG18" i="24"/>
  <c r="AH14" i="24"/>
  <c r="M13" i="23" s="1"/>
  <c r="AI13" i="24"/>
  <c r="AA22" i="24"/>
  <c r="AF11" i="24"/>
  <c r="AB20" i="24"/>
  <c r="AG20" i="24" s="1"/>
  <c r="J21" i="24"/>
  <c r="AB22" i="24" s="1"/>
  <c r="AF52" i="2"/>
  <c r="AL55" i="3"/>
  <c r="AD46" i="5" s="1"/>
  <c r="AF52" i="6" s="1"/>
  <c r="AT52" i="6" s="1"/>
  <c r="AP44" i="3"/>
  <c r="AH35" i="5" s="1"/>
  <c r="AJ41" i="6" s="1"/>
  <c r="M13" i="24"/>
  <c r="Q10" i="24"/>
  <c r="O22" i="24"/>
  <c r="AH55" i="3" s="1"/>
  <c r="Z46" i="5" s="1"/>
  <c r="AB52" i="6" s="1"/>
  <c r="G23" i="24"/>
  <c r="K23" i="24" s="1"/>
  <c r="W11" i="25"/>
  <c r="AK11" i="25" s="1"/>
  <c r="X10" i="24"/>
  <c r="AA14" i="25"/>
  <c r="N14" i="24" s="1"/>
  <c r="AG47" i="3" s="1"/>
  <c r="AC12" i="25"/>
  <c r="S14" i="25"/>
  <c r="AG14" i="25" s="1"/>
  <c r="T13" i="24"/>
  <c r="AF23" i="25"/>
  <c r="S23" i="24" s="1"/>
  <c r="H23" i="24"/>
  <c r="O23" i="24" s="1"/>
  <c r="AH56" i="3" s="1"/>
  <c r="Z47" i="5" s="1"/>
  <c r="AB53" i="6" s="1"/>
  <c r="F23" i="24"/>
  <c r="E24" i="24"/>
  <c r="J23" i="25"/>
  <c r="B25" i="24"/>
  <c r="C25" i="24" s="1"/>
  <c r="H24" i="25"/>
  <c r="G24" i="25"/>
  <c r="AB24" i="25" s="1"/>
  <c r="K24" i="25"/>
  <c r="E24" i="25"/>
  <c r="F24" i="25"/>
  <c r="I23" i="25"/>
  <c r="C19" i="25"/>
  <c r="AO18" i="25"/>
  <c r="AN18" i="25"/>
  <c r="D18" i="25"/>
  <c r="D18" i="24"/>
  <c r="AH15" i="24" l="1"/>
  <c r="M14" i="23" s="1"/>
  <c r="AI14" i="24"/>
  <c r="AA21" i="24"/>
  <c r="AF46" i="3"/>
  <c r="AB21" i="24"/>
  <c r="AG21" i="24" s="1"/>
  <c r="J23" i="24"/>
  <c r="AA23" i="24" s="1"/>
  <c r="AQ43" i="3"/>
  <c r="AI34" i="5" s="1"/>
  <c r="AK40" i="6" s="1"/>
  <c r="AF53" i="2"/>
  <c r="AL56" i="3"/>
  <c r="AD47" i="5" s="1"/>
  <c r="AF53" i="6" s="1"/>
  <c r="AT53" i="6" s="1"/>
  <c r="P12" i="24"/>
  <c r="F24" i="24"/>
  <c r="G24" i="24"/>
  <c r="K24" i="24" s="1"/>
  <c r="H24" i="24"/>
  <c r="O24" i="24" s="1"/>
  <c r="AH57" i="3" s="1"/>
  <c r="Z48" i="5" s="1"/>
  <c r="AB54" i="6" s="1"/>
  <c r="V13" i="25"/>
  <c r="AJ13" i="25" s="1"/>
  <c r="W12" i="24"/>
  <c r="AD11" i="25"/>
  <c r="T15" i="25"/>
  <c r="AH15" i="25" s="1"/>
  <c r="U14" i="24"/>
  <c r="Z14" i="25"/>
  <c r="AF24" i="25"/>
  <c r="S24" i="24" s="1"/>
  <c r="I24" i="25"/>
  <c r="E25" i="24"/>
  <c r="J24" i="25"/>
  <c r="B26" i="24"/>
  <c r="C26" i="24" s="1"/>
  <c r="K25" i="25"/>
  <c r="H25" i="25"/>
  <c r="G25" i="25"/>
  <c r="AB25" i="25" s="1"/>
  <c r="F25" i="25"/>
  <c r="E25" i="25"/>
  <c r="C20" i="25"/>
  <c r="AN19" i="25"/>
  <c r="AO19" i="25"/>
  <c r="D19" i="25"/>
  <c r="D19" i="24"/>
  <c r="AG22" i="24" l="1"/>
  <c r="AH16" i="24"/>
  <c r="M15" i="23" s="1"/>
  <c r="AI15" i="24"/>
  <c r="AB23" i="24"/>
  <c r="AG23" i="24" s="1"/>
  <c r="AF12" i="24"/>
  <c r="J24" i="24"/>
  <c r="AB24" i="24" s="1"/>
  <c r="AF54" i="2"/>
  <c r="AL57" i="3"/>
  <c r="AD48" i="5" s="1"/>
  <c r="AF54" i="6" s="1"/>
  <c r="AT54" i="6" s="1"/>
  <c r="AP45" i="3"/>
  <c r="AH36" i="5" s="1"/>
  <c r="AJ42" i="6" s="1"/>
  <c r="M14" i="24"/>
  <c r="Q11" i="24"/>
  <c r="G25" i="24"/>
  <c r="K25" i="24" s="1"/>
  <c r="H25" i="24"/>
  <c r="O25" i="24" s="1"/>
  <c r="AH58" i="3" s="1"/>
  <c r="Z49" i="5" s="1"/>
  <c r="AB55" i="6" s="1"/>
  <c r="F25" i="24"/>
  <c r="S15" i="25"/>
  <c r="AG15" i="25" s="1"/>
  <c r="T14" i="24"/>
  <c r="AC13" i="25"/>
  <c r="AA15" i="25"/>
  <c r="N15" i="24" s="1"/>
  <c r="AG48" i="3" s="1"/>
  <c r="W12" i="25"/>
  <c r="AK12" i="25" s="1"/>
  <c r="X11" i="24"/>
  <c r="I25" i="25"/>
  <c r="AF25" i="25"/>
  <c r="S25" i="24" s="1"/>
  <c r="E26" i="24"/>
  <c r="J25" i="25"/>
  <c r="B27" i="24"/>
  <c r="C27" i="24" s="1"/>
  <c r="H26" i="25"/>
  <c r="G26" i="25"/>
  <c r="AB26" i="25" s="1"/>
  <c r="K26" i="25"/>
  <c r="F26" i="25"/>
  <c r="E26" i="25"/>
  <c r="C21" i="25"/>
  <c r="AO20" i="25"/>
  <c r="AN20" i="25"/>
  <c r="D20" i="25"/>
  <c r="D20" i="24"/>
  <c r="AG24" i="24" l="1"/>
  <c r="AA24" i="24"/>
  <c r="AH17" i="24"/>
  <c r="M16" i="23" s="1"/>
  <c r="AI16" i="24"/>
  <c r="AF47" i="3"/>
  <c r="J25" i="24"/>
  <c r="AA25" i="24" s="1"/>
  <c r="AQ44" i="3"/>
  <c r="AI35" i="5" s="1"/>
  <c r="AK41" i="6" s="1"/>
  <c r="AF55" i="2"/>
  <c r="AL58" i="3"/>
  <c r="AD49" i="5" s="1"/>
  <c r="AF55" i="6" s="1"/>
  <c r="AT55" i="6" s="1"/>
  <c r="P13" i="24"/>
  <c r="G26" i="24"/>
  <c r="K26" i="24" s="1"/>
  <c r="F26" i="24"/>
  <c r="H26" i="24"/>
  <c r="O26" i="24" s="1"/>
  <c r="AH59" i="3" s="1"/>
  <c r="Z50" i="5" s="1"/>
  <c r="AB56" i="6" s="1"/>
  <c r="V14" i="25"/>
  <c r="AJ14" i="25" s="1"/>
  <c r="W13" i="24"/>
  <c r="AD12" i="25"/>
  <c r="Z15" i="25"/>
  <c r="T16" i="25"/>
  <c r="AH16" i="25" s="1"/>
  <c r="U15" i="24"/>
  <c r="AF26" i="25"/>
  <c r="S26" i="24" s="1"/>
  <c r="I26" i="25"/>
  <c r="E27" i="24"/>
  <c r="J26" i="25"/>
  <c r="H27" i="25"/>
  <c r="K27" i="25"/>
  <c r="G27" i="25"/>
  <c r="AB27" i="25" s="1"/>
  <c r="F27" i="25"/>
  <c r="E27" i="25"/>
  <c r="C22" i="25"/>
  <c r="AO21" i="25"/>
  <c r="AN21" i="25"/>
  <c r="D21" i="25"/>
  <c r="D21" i="24"/>
  <c r="AH18" i="24" l="1"/>
  <c r="M17" i="23" s="1"/>
  <c r="AI17" i="24"/>
  <c r="AF13" i="24"/>
  <c r="AB25" i="24"/>
  <c r="AG25" i="24" s="1"/>
  <c r="J26" i="24"/>
  <c r="AA26" i="24" s="1"/>
  <c r="AF56" i="2"/>
  <c r="AL59" i="3"/>
  <c r="AD50" i="5" s="1"/>
  <c r="AF56" i="6" s="1"/>
  <c r="AT56" i="6" s="1"/>
  <c r="AP46" i="3"/>
  <c r="AH37" i="5" s="1"/>
  <c r="AJ43" i="6" s="1"/>
  <c r="M15" i="24"/>
  <c r="Q12" i="24"/>
  <c r="G27" i="24"/>
  <c r="K27" i="24" s="1"/>
  <c r="F27" i="24"/>
  <c r="H27" i="24"/>
  <c r="O27" i="24" s="1"/>
  <c r="AH60" i="3" s="1"/>
  <c r="Z51" i="5" s="1"/>
  <c r="AB57" i="6" s="1"/>
  <c r="AA16" i="25"/>
  <c r="N16" i="24" s="1"/>
  <c r="AG49" i="3" s="1"/>
  <c r="W13" i="25"/>
  <c r="AK13" i="25" s="1"/>
  <c r="X12" i="24"/>
  <c r="AC14" i="25"/>
  <c r="S16" i="25"/>
  <c r="AG16" i="25" s="1"/>
  <c r="T15" i="24"/>
  <c r="AF27" i="25"/>
  <c r="S27" i="24" s="1"/>
  <c r="I27" i="25"/>
  <c r="J27" i="25"/>
  <c r="K28" i="25"/>
  <c r="H28" i="25"/>
  <c r="G28" i="25"/>
  <c r="AB28" i="25" s="1"/>
  <c r="F28" i="25"/>
  <c r="E28" i="25"/>
  <c r="C23" i="25"/>
  <c r="AO22" i="25"/>
  <c r="AN22" i="25"/>
  <c r="D22" i="25"/>
  <c r="B28" i="24"/>
  <c r="C28" i="24" s="1"/>
  <c r="D22" i="24"/>
  <c r="AH19" i="24" l="1"/>
  <c r="M18" i="23" s="1"/>
  <c r="AI18" i="24"/>
  <c r="AB26" i="24"/>
  <c r="AG26" i="24" s="1"/>
  <c r="AF48" i="3"/>
  <c r="AQ45" i="3"/>
  <c r="AI36" i="5" s="1"/>
  <c r="AK42" i="6" s="1"/>
  <c r="J27" i="24"/>
  <c r="AA27" i="24" s="1"/>
  <c r="AF57" i="2"/>
  <c r="AL60" i="3"/>
  <c r="AD51" i="5" s="1"/>
  <c r="AF57" i="6" s="1"/>
  <c r="AT57" i="6" s="1"/>
  <c r="P14" i="24"/>
  <c r="V15" i="25"/>
  <c r="AJ15" i="25" s="1"/>
  <c r="W14" i="24"/>
  <c r="AD13" i="25"/>
  <c r="Z16" i="25"/>
  <c r="T17" i="25"/>
  <c r="AH17" i="25" s="1"/>
  <c r="U16" i="24"/>
  <c r="I28" i="25"/>
  <c r="AF28" i="25"/>
  <c r="S28" i="24" s="1"/>
  <c r="E28" i="24"/>
  <c r="J28" i="25"/>
  <c r="C24" i="25"/>
  <c r="AN23" i="25"/>
  <c r="AO23" i="25"/>
  <c r="D23" i="25"/>
  <c r="B29" i="24"/>
  <c r="D23" i="24"/>
  <c r="AH20" i="24" l="1"/>
  <c r="M19" i="23" s="1"/>
  <c r="AI19" i="24"/>
  <c r="AF14" i="24"/>
  <c r="AB27" i="24"/>
  <c r="AG27" i="24" s="1"/>
  <c r="AF58" i="2"/>
  <c r="AL61" i="3"/>
  <c r="AD52" i="5" s="1"/>
  <c r="AF58" i="6" s="1"/>
  <c r="AT58" i="6" s="1"/>
  <c r="AP47" i="3"/>
  <c r="AH38" i="5" s="1"/>
  <c r="AJ44" i="6" s="1"/>
  <c r="Q13" i="24"/>
  <c r="M16" i="24"/>
  <c r="G28" i="24"/>
  <c r="K28" i="24" s="1"/>
  <c r="F28" i="24"/>
  <c r="W14" i="25"/>
  <c r="AK14" i="25" s="1"/>
  <c r="X13" i="24"/>
  <c r="AC15" i="25"/>
  <c r="S17" i="25"/>
  <c r="AG17" i="25" s="1"/>
  <c r="T16" i="24"/>
  <c r="AA17" i="25"/>
  <c r="N17" i="24" s="1"/>
  <c r="AG50" i="3" s="1"/>
  <c r="C25" i="25"/>
  <c r="AO24" i="25"/>
  <c r="AN24" i="25"/>
  <c r="D24" i="25"/>
  <c r="H28" i="24"/>
  <c r="O28" i="24" s="1"/>
  <c r="AH61" i="3" s="1"/>
  <c r="Z52" i="5" s="1"/>
  <c r="AB58" i="6" s="1"/>
  <c r="C29" i="24"/>
  <c r="D24" i="24"/>
  <c r="AH21" i="24" l="1"/>
  <c r="M20" i="23" s="1"/>
  <c r="AI20" i="24"/>
  <c r="AF49" i="3"/>
  <c r="AQ46" i="3"/>
  <c r="AI37" i="5" s="1"/>
  <c r="AK43" i="6" s="1"/>
  <c r="AF59" i="2"/>
  <c r="P15" i="24"/>
  <c r="T18" i="25"/>
  <c r="AH18" i="25" s="1"/>
  <c r="U17" i="24"/>
  <c r="V16" i="25"/>
  <c r="AJ16" i="25" s="1"/>
  <c r="W15" i="24"/>
  <c r="Z17" i="25"/>
  <c r="AD14" i="25"/>
  <c r="H29" i="24"/>
  <c r="C26" i="25"/>
  <c r="AO25" i="25"/>
  <c r="AN25" i="25"/>
  <c r="D25" i="25"/>
  <c r="J28" i="24"/>
  <c r="AA28" i="24" s="1"/>
  <c r="K29" i="24"/>
  <c r="G29" i="24"/>
  <c r="D25" i="24"/>
  <c r="F29" i="24"/>
  <c r="AH22" i="24" l="1"/>
  <c r="M21" i="23" s="1"/>
  <c r="AI21" i="24"/>
  <c r="AF15" i="24"/>
  <c r="AB28" i="24"/>
  <c r="AG28" i="24" s="1"/>
  <c r="AP48" i="3"/>
  <c r="AH39" i="5" s="1"/>
  <c r="AJ45" i="6" s="1"/>
  <c r="M17" i="24"/>
  <c r="Q14" i="24"/>
  <c r="W15" i="25"/>
  <c r="AK15" i="25" s="1"/>
  <c r="X14" i="24"/>
  <c r="AA18" i="25"/>
  <c r="N18" i="24" s="1"/>
  <c r="AG51" i="3" s="1"/>
  <c r="S18" i="25"/>
  <c r="AG18" i="25" s="1"/>
  <c r="T17" i="24"/>
  <c r="AC16" i="25"/>
  <c r="J29" i="24"/>
  <c r="C27" i="25"/>
  <c r="AO26" i="25"/>
  <c r="AN26" i="25"/>
  <c r="D26" i="25"/>
  <c r="D26" i="24"/>
  <c r="AH23" i="24" l="1"/>
  <c r="M22" i="23" s="1"/>
  <c r="AI22" i="24"/>
  <c r="AF50" i="3"/>
  <c r="AQ47" i="3"/>
  <c r="AI38" i="5" s="1"/>
  <c r="AK44" i="6" s="1"/>
  <c r="P16" i="24"/>
  <c r="V17" i="25"/>
  <c r="AJ17" i="25" s="1"/>
  <c r="W16" i="24"/>
  <c r="Z18" i="25"/>
  <c r="T19" i="25"/>
  <c r="AH19" i="25" s="1"/>
  <c r="U18" i="24"/>
  <c r="AD15" i="25"/>
  <c r="C28" i="25"/>
  <c r="AN27" i="25"/>
  <c r="AO27" i="25"/>
  <c r="D27" i="25"/>
  <c r="D27" i="24"/>
  <c r="AH24" i="24" l="1"/>
  <c r="M23" i="23" s="1"/>
  <c r="AI23" i="24"/>
  <c r="AF16" i="24"/>
  <c r="AP49" i="3"/>
  <c r="AH40" i="5" s="1"/>
  <c r="AJ46" i="6" s="1"/>
  <c r="M18" i="24"/>
  <c r="Q15" i="24"/>
  <c r="S19" i="25"/>
  <c r="AG19" i="25" s="1"/>
  <c r="T18" i="24"/>
  <c r="AA19" i="25"/>
  <c r="N19" i="24" s="1"/>
  <c r="AG52" i="3" s="1"/>
  <c r="W16" i="25"/>
  <c r="AK16" i="25" s="1"/>
  <c r="X15" i="24"/>
  <c r="AC17" i="25"/>
  <c r="AO28" i="25"/>
  <c r="AN28" i="25"/>
  <c r="D28" i="25"/>
  <c r="D28" i="24"/>
  <c r="AH25" i="24" l="1"/>
  <c r="M24" i="23" s="1"/>
  <c r="AI24" i="24"/>
  <c r="AF51" i="3"/>
  <c r="AQ48" i="3"/>
  <c r="AI39" i="5" s="1"/>
  <c r="AK45" i="6" s="1"/>
  <c r="P17" i="24"/>
  <c r="V18" i="25"/>
  <c r="AJ18" i="25" s="1"/>
  <c r="W17" i="24"/>
  <c r="T20" i="25"/>
  <c r="AH20" i="25" s="1"/>
  <c r="U19" i="24"/>
  <c r="AD16" i="25"/>
  <c r="Z19" i="25"/>
  <c r="AH26" i="24" l="1"/>
  <c r="M25" i="23" s="1"/>
  <c r="AI25" i="24"/>
  <c r="AF17" i="24"/>
  <c r="AP50" i="3"/>
  <c r="AH41" i="5" s="1"/>
  <c r="AJ47" i="6" s="1"/>
  <c r="M19" i="24"/>
  <c r="Q16" i="24"/>
  <c r="S20" i="25"/>
  <c r="AG20" i="25" s="1"/>
  <c r="T19" i="24"/>
  <c r="AC18" i="25"/>
  <c r="W17" i="25"/>
  <c r="AK17" i="25" s="1"/>
  <c r="X16" i="24"/>
  <c r="AA20" i="25"/>
  <c r="N20" i="24" s="1"/>
  <c r="AG53" i="3" s="1"/>
  <c r="AH27" i="24" l="1"/>
  <c r="M26" i="23" s="1"/>
  <c r="AI26" i="24"/>
  <c r="AF52" i="3"/>
  <c r="AQ49" i="3"/>
  <c r="AI40" i="5" s="1"/>
  <c r="AK46" i="6" s="1"/>
  <c r="P18" i="24"/>
  <c r="AD17" i="25"/>
  <c r="V19" i="25"/>
  <c r="AJ19" i="25" s="1"/>
  <c r="W18" i="24"/>
  <c r="T21" i="25"/>
  <c r="AH21" i="25" s="1"/>
  <c r="U20" i="24"/>
  <c r="Z20" i="25"/>
  <c r="AH28" i="24" l="1"/>
  <c r="M27" i="23" s="1"/>
  <c r="AI27" i="24"/>
  <c r="AF18" i="24"/>
  <c r="AP51" i="3"/>
  <c r="AH42" i="5" s="1"/>
  <c r="AJ48" i="6" s="1"/>
  <c r="Q17" i="24"/>
  <c r="M20" i="24"/>
  <c r="AA21" i="25"/>
  <c r="N21" i="24" s="1"/>
  <c r="AG54" i="3" s="1"/>
  <c r="AC19" i="25"/>
  <c r="W18" i="25"/>
  <c r="AK18" i="25" s="1"/>
  <c r="X17" i="24"/>
  <c r="S21" i="25"/>
  <c r="AG21" i="25" s="1"/>
  <c r="T20" i="24"/>
  <c r="AI28" i="24" l="1"/>
  <c r="AF53" i="3"/>
  <c r="AQ50" i="3"/>
  <c r="AI41" i="5" s="1"/>
  <c r="AK47" i="6" s="1"/>
  <c r="M28" i="23"/>
  <c r="P19" i="24"/>
  <c r="AD18" i="25"/>
  <c r="Z21" i="25"/>
  <c r="V20" i="25"/>
  <c r="AJ20" i="25" s="1"/>
  <c r="W19" i="24"/>
  <c r="T22" i="25"/>
  <c r="AH22" i="25" s="1"/>
  <c r="U21" i="24"/>
  <c r="AA29" i="24"/>
  <c r="C10" i="3"/>
  <c r="M36" i="3" s="1"/>
  <c r="AF19" i="24" l="1"/>
  <c r="AP52" i="3"/>
  <c r="AH43" i="5" s="1"/>
  <c r="AJ49" i="6" s="1"/>
  <c r="Q18" i="24"/>
  <c r="M21" i="24"/>
  <c r="W19" i="25"/>
  <c r="AK19" i="25" s="1"/>
  <c r="X18" i="24"/>
  <c r="AC20" i="25"/>
  <c r="S22" i="25"/>
  <c r="AG22" i="25" s="1"/>
  <c r="T21" i="24"/>
  <c r="AA22" i="25"/>
  <c r="N22" i="24" s="1"/>
  <c r="AG55" i="3" s="1"/>
  <c r="C23" i="3"/>
  <c r="AF54" i="3" l="1"/>
  <c r="AQ51" i="3"/>
  <c r="AI42" i="5" s="1"/>
  <c r="AK48" i="6" s="1"/>
  <c r="AB36" i="3"/>
  <c r="AC36" i="3"/>
  <c r="N36" i="3"/>
  <c r="O36" i="3"/>
  <c r="P20" i="24"/>
  <c r="Z22" i="25"/>
  <c r="AD19" i="25"/>
  <c r="T23" i="25"/>
  <c r="AH23" i="25" s="1"/>
  <c r="U22" i="24"/>
  <c r="V21" i="25"/>
  <c r="AJ21" i="25" s="1"/>
  <c r="W20" i="24"/>
  <c r="AE36" i="3"/>
  <c r="P36" i="3"/>
  <c r="AF20" i="24" l="1"/>
  <c r="X36" i="3"/>
  <c r="W36" i="3" s="1"/>
  <c r="V36" i="3"/>
  <c r="U36" i="3"/>
  <c r="AP53" i="3"/>
  <c r="AH44" i="5" s="1"/>
  <c r="AJ50" i="6" s="1"/>
  <c r="Z36" i="3"/>
  <c r="Y36" i="3"/>
  <c r="AW36" i="3"/>
  <c r="AO27" i="5" s="1"/>
  <c r="AZ36" i="3"/>
  <c r="AR27" i="5" s="1"/>
  <c r="AN36" i="3"/>
  <c r="AO36" i="3"/>
  <c r="BJ36" i="3" s="1"/>
  <c r="AX36" i="3"/>
  <c r="AP27" i="5" s="1"/>
  <c r="AM36" i="3"/>
  <c r="M22" i="24"/>
  <c r="Q19" i="24"/>
  <c r="AA36" i="3"/>
  <c r="AC21" i="25"/>
  <c r="W20" i="25"/>
  <c r="AK20" i="25" s="1"/>
  <c r="X19" i="24"/>
  <c r="AA23" i="25"/>
  <c r="N23" i="24" s="1"/>
  <c r="AG56" i="3" s="1"/>
  <c r="S23" i="25"/>
  <c r="AG23" i="25" s="1"/>
  <c r="T22" i="24"/>
  <c r="S36" i="3"/>
  <c r="BK36" i="3"/>
  <c r="AY27" i="5" s="1"/>
  <c r="C37" i="3"/>
  <c r="R36" i="3"/>
  <c r="AJ36" i="3" s="1"/>
  <c r="D37" i="3" l="1"/>
  <c r="F37" i="3" s="1"/>
  <c r="E37" i="3"/>
  <c r="G37" i="3" s="1"/>
  <c r="J37" i="3" s="1"/>
  <c r="H37" i="3"/>
  <c r="AF55" i="3"/>
  <c r="AQ52" i="3"/>
  <c r="AI43" i="5" s="1"/>
  <c r="AK49" i="6" s="1"/>
  <c r="BC36" i="3"/>
  <c r="C27" i="5"/>
  <c r="AX27" i="5" s="1"/>
  <c r="AT36" i="3"/>
  <c r="AU36" i="3"/>
  <c r="F27" i="5"/>
  <c r="L27" i="5" s="1"/>
  <c r="AV36" i="3"/>
  <c r="BL36" i="3" s="1"/>
  <c r="D33" i="6" s="1"/>
  <c r="D34" i="2" s="1"/>
  <c r="P21" i="24"/>
  <c r="AG27" i="5"/>
  <c r="BC33" i="6"/>
  <c r="AD20" i="25"/>
  <c r="T24" i="25"/>
  <c r="AH24" i="25" s="1"/>
  <c r="U23" i="24"/>
  <c r="Z23" i="25"/>
  <c r="V22" i="25"/>
  <c r="AJ22" i="25" s="1"/>
  <c r="W21" i="24"/>
  <c r="BA36" i="3"/>
  <c r="K37" i="3" l="1"/>
  <c r="I37" i="3"/>
  <c r="U27" i="5"/>
  <c r="AF27" i="5" s="1"/>
  <c r="AI33" i="6"/>
  <c r="AP33" i="6" s="1"/>
  <c r="BB33" i="6"/>
  <c r="C34" i="2" s="1"/>
  <c r="AF21" i="24"/>
  <c r="AP54" i="3"/>
  <c r="AH45" i="5" s="1"/>
  <c r="AJ51" i="6" s="1"/>
  <c r="W33" i="6"/>
  <c r="C33" i="6"/>
  <c r="V33" i="6"/>
  <c r="AN27" i="5"/>
  <c r="M23" i="24"/>
  <c r="Q20" i="24"/>
  <c r="AC22" i="25"/>
  <c r="S24" i="25"/>
  <c r="AG24" i="25" s="1"/>
  <c r="T23" i="24"/>
  <c r="W21" i="25"/>
  <c r="AK21" i="25" s="1"/>
  <c r="X20" i="24"/>
  <c r="AA24" i="25"/>
  <c r="N24" i="24" s="1"/>
  <c r="AG57" i="3" s="1"/>
  <c r="L37" i="3" l="1"/>
  <c r="T27" i="5"/>
  <c r="Y27" i="5" s="1"/>
  <c r="W27" i="5"/>
  <c r="I33" i="6" s="1"/>
  <c r="P27" i="5"/>
  <c r="AF56" i="3"/>
  <c r="AQ53" i="3"/>
  <c r="AI44" i="5" s="1"/>
  <c r="AK50" i="6" s="1"/>
  <c r="E34" i="2"/>
  <c r="C9" i="2" s="1"/>
  <c r="P22" i="24"/>
  <c r="Z24" i="25"/>
  <c r="T25" i="25"/>
  <c r="AH25" i="25" s="1"/>
  <c r="U24" i="24"/>
  <c r="AD21" i="25"/>
  <c r="V23" i="25"/>
  <c r="AJ23" i="25" s="1"/>
  <c r="W22" i="24"/>
  <c r="F55" i="2" l="1"/>
  <c r="F46" i="2"/>
  <c r="F37" i="2"/>
  <c r="F58" i="2"/>
  <c r="F44" i="2"/>
  <c r="F56" i="2"/>
  <c r="F40" i="2"/>
  <c r="F52" i="2"/>
  <c r="F41" i="2"/>
  <c r="F48" i="2"/>
  <c r="F49" i="2"/>
  <c r="F42" i="2"/>
  <c r="F35" i="2"/>
  <c r="F59" i="2"/>
  <c r="F36" i="2"/>
  <c r="F34" i="2"/>
  <c r="F39" i="2"/>
  <c r="F38" i="2"/>
  <c r="F51" i="2"/>
  <c r="F45" i="2"/>
  <c r="F57" i="2"/>
  <c r="F47" i="2"/>
  <c r="F53" i="2"/>
  <c r="F54" i="2"/>
  <c r="F50" i="2"/>
  <c r="F43" i="2"/>
  <c r="M37" i="3"/>
  <c r="AF22" i="24"/>
  <c r="R33" i="6"/>
  <c r="AP55" i="3"/>
  <c r="AH46" i="5" s="1"/>
  <c r="AJ52" i="6" s="1"/>
  <c r="T33" i="6"/>
  <c r="AM27" i="5"/>
  <c r="Q21" i="24"/>
  <c r="M24" i="24"/>
  <c r="AC23" i="25"/>
  <c r="AA25" i="25"/>
  <c r="N25" i="24" s="1"/>
  <c r="AG58" i="3" s="1"/>
  <c r="W22" i="25"/>
  <c r="AK22" i="25" s="1"/>
  <c r="X21" i="24"/>
  <c r="S25" i="25"/>
  <c r="AG25" i="25" s="1"/>
  <c r="T24" i="24"/>
  <c r="N37" i="3" l="1"/>
  <c r="Y37" i="3" s="1"/>
  <c r="P37" i="3"/>
  <c r="AB37" i="3"/>
  <c r="AW37" i="3" s="1"/>
  <c r="AO28" i="5" s="1"/>
  <c r="AC37" i="3"/>
  <c r="AX37" i="3" s="1"/>
  <c r="AP28" i="5" s="1"/>
  <c r="AE37" i="3"/>
  <c r="AZ37" i="3" s="1"/>
  <c r="AR28" i="5" s="1"/>
  <c r="O37" i="3"/>
  <c r="Q33" i="6"/>
  <c r="AA33" i="6" s="1"/>
  <c r="AH33" i="6"/>
  <c r="AF57" i="3"/>
  <c r="AQ54" i="3"/>
  <c r="AI45" i="5" s="1"/>
  <c r="AK51" i="6" s="1"/>
  <c r="P23" i="24"/>
  <c r="AD22" i="25"/>
  <c r="Z25" i="25"/>
  <c r="T26" i="25"/>
  <c r="AH26" i="25" s="1"/>
  <c r="U25" i="24"/>
  <c r="V24" i="25"/>
  <c r="AJ24" i="25" s="1"/>
  <c r="W23" i="24"/>
  <c r="X37" i="3" l="1"/>
  <c r="W37" i="3" s="1"/>
  <c r="AN37" i="3"/>
  <c r="Z37" i="3"/>
  <c r="S37" i="3"/>
  <c r="BK37" i="3"/>
  <c r="AY28" i="5" s="1"/>
  <c r="AO37" i="3"/>
  <c r="C38" i="3"/>
  <c r="AA37" i="3"/>
  <c r="V37" i="3"/>
  <c r="U37" i="3" s="1"/>
  <c r="AM37" i="3"/>
  <c r="AT37" i="3" s="1"/>
  <c r="R37" i="3"/>
  <c r="AJ37" i="3" s="1"/>
  <c r="AO33" i="6"/>
  <c r="AF23" i="24"/>
  <c r="AP56" i="3"/>
  <c r="AH47" i="5" s="1"/>
  <c r="AJ53" i="6" s="1"/>
  <c r="M25" i="24"/>
  <c r="Q22" i="24"/>
  <c r="AC24" i="25"/>
  <c r="AA26" i="25"/>
  <c r="N26" i="24" s="1"/>
  <c r="AG59" i="3" s="1"/>
  <c r="S26" i="25"/>
  <c r="AG26" i="25" s="1"/>
  <c r="T25" i="24"/>
  <c r="W23" i="25"/>
  <c r="AK23" i="25" s="1"/>
  <c r="X22" i="24"/>
  <c r="BC37" i="3" l="1"/>
  <c r="E38" i="3"/>
  <c r="G38" i="3" s="1"/>
  <c r="J38" i="3" s="1"/>
  <c r="D38" i="3"/>
  <c r="F38" i="3" s="1"/>
  <c r="I38" i="3" s="1"/>
  <c r="BA37" i="3"/>
  <c r="H38" i="3"/>
  <c r="BJ37" i="3"/>
  <c r="C28" i="5" s="1"/>
  <c r="AX28" i="5" s="1"/>
  <c r="C34" i="6" s="1"/>
  <c r="AG28" i="5"/>
  <c r="AV37" i="3"/>
  <c r="BL37" i="3" s="1"/>
  <c r="D34" i="6" s="1"/>
  <c r="E34" i="6" s="1"/>
  <c r="F34" i="6" s="1"/>
  <c r="G34" i="6" s="1"/>
  <c r="Y34" i="6" s="1"/>
  <c r="F28" i="5"/>
  <c r="L28" i="5" s="1"/>
  <c r="AU37" i="3"/>
  <c r="AF58" i="3"/>
  <c r="AQ55" i="3"/>
  <c r="AI46" i="5" s="1"/>
  <c r="AK52" i="6" s="1"/>
  <c r="P24" i="24"/>
  <c r="T27" i="25"/>
  <c r="AH27" i="25" s="1"/>
  <c r="U26" i="24"/>
  <c r="AD23" i="25"/>
  <c r="Z26" i="25"/>
  <c r="V25" i="25"/>
  <c r="AJ25" i="25" s="1"/>
  <c r="W24" i="24"/>
  <c r="W34" i="6" l="1"/>
  <c r="D35" i="2"/>
  <c r="W28" i="5"/>
  <c r="I34" i="6" s="1"/>
  <c r="P28" i="5"/>
  <c r="U28" i="5"/>
  <c r="AF28" i="5" s="1"/>
  <c r="AM28" i="5" s="1"/>
  <c r="J34" i="6"/>
  <c r="AI34" i="6" s="1"/>
  <c r="AP34" i="6" s="1"/>
  <c r="V34" i="6"/>
  <c r="AN28" i="5"/>
  <c r="K38" i="3"/>
  <c r="L38" i="3" s="1"/>
  <c r="AF24" i="24"/>
  <c r="AP57" i="3"/>
  <c r="AH48" i="5" s="1"/>
  <c r="AJ54" i="6" s="1"/>
  <c r="M26" i="24"/>
  <c r="Q23" i="24"/>
  <c r="S27" i="25"/>
  <c r="AG27" i="25" s="1"/>
  <c r="T26" i="24"/>
  <c r="W24" i="25"/>
  <c r="AK24" i="25" s="1"/>
  <c r="X23" i="24"/>
  <c r="AC25" i="25"/>
  <c r="AA27" i="25"/>
  <c r="N27" i="24" s="1"/>
  <c r="AG60" i="3" s="1"/>
  <c r="U34" i="6" l="1"/>
  <c r="BC34" i="6"/>
  <c r="BB34" i="6"/>
  <c r="C35" i="2" s="1"/>
  <c r="M38" i="3"/>
  <c r="T28" i="5"/>
  <c r="Y28" i="5" s="1"/>
  <c r="R34" i="6" s="1"/>
  <c r="Q34" i="6" s="1"/>
  <c r="AA34" i="6" s="1"/>
  <c r="T34" i="6"/>
  <c r="AF59" i="3"/>
  <c r="AQ56" i="3"/>
  <c r="AI47" i="5" s="1"/>
  <c r="AK53" i="6" s="1"/>
  <c r="P25" i="24"/>
  <c r="V26" i="25"/>
  <c r="AJ26" i="25" s="1"/>
  <c r="W25" i="24"/>
  <c r="AD24" i="25"/>
  <c r="T28" i="25"/>
  <c r="U27" i="24"/>
  <c r="Z27" i="25"/>
  <c r="AH34" i="6" l="1"/>
  <c r="AO34" i="6" s="1"/>
  <c r="AB38" i="3"/>
  <c r="AW38" i="3" s="1"/>
  <c r="AO29" i="5" s="1"/>
  <c r="P38" i="3"/>
  <c r="AA38" i="3" s="1"/>
  <c r="N38" i="3"/>
  <c r="O38" i="3"/>
  <c r="Z38" i="3" s="1"/>
  <c r="AC38" i="3"/>
  <c r="AX38" i="3" s="1"/>
  <c r="AP29" i="5" s="1"/>
  <c r="AE38" i="3"/>
  <c r="AZ38" i="3" s="1"/>
  <c r="AR29" i="5" s="1"/>
  <c r="AF25" i="24"/>
  <c r="T29" i="25"/>
  <c r="AH28" i="25"/>
  <c r="U28" i="24" s="1"/>
  <c r="AP58" i="3"/>
  <c r="AH49" i="5" s="1"/>
  <c r="AJ55" i="6" s="1"/>
  <c r="M27" i="24"/>
  <c r="Q24" i="24"/>
  <c r="W25" i="25"/>
  <c r="AK25" i="25" s="1"/>
  <c r="X24" i="24"/>
  <c r="S28" i="25"/>
  <c r="AG28" i="25" s="1"/>
  <c r="T27" i="24"/>
  <c r="AA28" i="25"/>
  <c r="N28" i="24" s="1"/>
  <c r="AG61" i="3" s="1"/>
  <c r="AC26" i="25"/>
  <c r="V38" i="3" l="1"/>
  <c r="U38" i="3" s="1"/>
  <c r="AM38" i="3"/>
  <c r="R38" i="3"/>
  <c r="AJ38" i="3" s="1"/>
  <c r="AO38" i="3"/>
  <c r="BK38" i="3"/>
  <c r="AY29" i="5" s="1"/>
  <c r="C39" i="3"/>
  <c r="Y38" i="3"/>
  <c r="BA38" i="3" s="1"/>
  <c r="X38" i="3"/>
  <c r="W38" i="3" s="1"/>
  <c r="AN38" i="3"/>
  <c r="S38" i="3"/>
  <c r="AF60" i="3"/>
  <c r="AQ57" i="3"/>
  <c r="AI48" i="5" s="1"/>
  <c r="AK54" i="6" s="1"/>
  <c r="P26" i="24"/>
  <c r="V27" i="25"/>
  <c r="AJ27" i="25" s="1"/>
  <c r="W26" i="24"/>
  <c r="T28" i="24"/>
  <c r="Z28" i="25"/>
  <c r="AD25" i="25"/>
  <c r="BC38" i="3" l="1"/>
  <c r="D39" i="3"/>
  <c r="F39" i="3" s="1"/>
  <c r="I39" i="3" s="1"/>
  <c r="E39" i="3"/>
  <c r="G39" i="3" s="1"/>
  <c r="J39" i="3" s="1"/>
  <c r="F29" i="5"/>
  <c r="L29" i="5" s="1"/>
  <c r="AU38" i="3"/>
  <c r="H39" i="3"/>
  <c r="AT38" i="3"/>
  <c r="BJ38" i="3"/>
  <c r="C29" i="5" s="1"/>
  <c r="AX29" i="5" s="1"/>
  <c r="C35" i="6" s="1"/>
  <c r="AG29" i="5"/>
  <c r="AV38" i="3"/>
  <c r="BL38" i="3" s="1"/>
  <c r="D35" i="6" s="1"/>
  <c r="AF26" i="24"/>
  <c r="AP59" i="3"/>
  <c r="AH50" i="5" s="1"/>
  <c r="AJ56" i="6" s="1"/>
  <c r="Q25" i="24"/>
  <c r="M28" i="24"/>
  <c r="W26" i="25"/>
  <c r="AK26" i="25" s="1"/>
  <c r="X25" i="24"/>
  <c r="AC27" i="25"/>
  <c r="K39" i="3" l="1"/>
  <c r="L39" i="3" s="1"/>
  <c r="E35" i="6"/>
  <c r="F35" i="6" s="1"/>
  <c r="G35" i="6" s="1"/>
  <c r="D36" i="2" s="1"/>
  <c r="U29" i="5"/>
  <c r="AF29" i="5" s="1"/>
  <c r="AM29" i="5" s="1"/>
  <c r="W29" i="5"/>
  <c r="P29" i="5"/>
  <c r="AN29" i="5"/>
  <c r="AF61" i="3"/>
  <c r="AQ58" i="3"/>
  <c r="AI49" i="5" s="1"/>
  <c r="AK55" i="6" s="1"/>
  <c r="P27" i="24"/>
  <c r="AD26" i="25"/>
  <c r="V28" i="25"/>
  <c r="AJ28" i="25" s="1"/>
  <c r="W27" i="24"/>
  <c r="I35" i="6" l="1"/>
  <c r="W35" i="6"/>
  <c r="Y35" i="6"/>
  <c r="J35" i="6"/>
  <c r="U35" i="6" s="1"/>
  <c r="V35" i="6"/>
  <c r="T29" i="5"/>
  <c r="Y29" i="5" s="1"/>
  <c r="M39" i="3"/>
  <c r="AF27" i="24"/>
  <c r="AP60" i="3"/>
  <c r="AH51" i="5" s="1"/>
  <c r="AJ57" i="6" s="1"/>
  <c r="Q26" i="24"/>
  <c r="W28" i="24"/>
  <c r="AC28" i="25"/>
  <c r="W27" i="25"/>
  <c r="AK27" i="25" s="1"/>
  <c r="X26" i="24"/>
  <c r="T35" i="6" l="1"/>
  <c r="R35" i="6"/>
  <c r="AH35" i="6" s="1"/>
  <c r="AE39" i="3"/>
  <c r="AZ39" i="3" s="1"/>
  <c r="AR30" i="5" s="1"/>
  <c r="AC39" i="3"/>
  <c r="AX39" i="3" s="1"/>
  <c r="AP30" i="5" s="1"/>
  <c r="P39" i="3"/>
  <c r="AB39" i="3"/>
  <c r="AW39" i="3" s="1"/>
  <c r="AO30" i="5" s="1"/>
  <c r="N39" i="3"/>
  <c r="Y39" i="3" s="1"/>
  <c r="O39" i="3"/>
  <c r="AI35" i="6"/>
  <c r="AP35" i="6" s="1"/>
  <c r="BC35" i="6"/>
  <c r="BB35" i="6"/>
  <c r="AF28" i="24"/>
  <c r="AQ59" i="3"/>
  <c r="AI50" i="5" s="1"/>
  <c r="AK56" i="6" s="1"/>
  <c r="AP61" i="3"/>
  <c r="AH52" i="5" s="1"/>
  <c r="AJ58" i="6" s="1"/>
  <c r="P28" i="24"/>
  <c r="AD27" i="25"/>
  <c r="X39" i="3" l="1"/>
  <c r="W39" i="3" s="1"/>
  <c r="S39" i="3"/>
  <c r="AN39" i="3"/>
  <c r="AA39" i="3"/>
  <c r="BK39" i="3"/>
  <c r="AY30" i="5" s="1"/>
  <c r="C40" i="3"/>
  <c r="AO39" i="3"/>
  <c r="Q35" i="6"/>
  <c r="AA35" i="6" s="1"/>
  <c r="AO35" i="6" s="1"/>
  <c r="C36" i="2"/>
  <c r="V39" i="3"/>
  <c r="U39" i="3" s="1"/>
  <c r="AM39" i="3"/>
  <c r="AT39" i="3" s="1"/>
  <c r="R39" i="3"/>
  <c r="AJ39" i="3" s="1"/>
  <c r="Z39" i="3"/>
  <c r="Q27" i="24"/>
  <c r="W28" i="25"/>
  <c r="AK28" i="25" s="1"/>
  <c r="X27" i="24"/>
  <c r="BA39" i="3" l="1"/>
  <c r="BC39" i="3"/>
  <c r="E40" i="3"/>
  <c r="G40" i="3" s="1"/>
  <c r="J40" i="3" s="1"/>
  <c r="D40" i="3"/>
  <c r="F40" i="3" s="1"/>
  <c r="I40" i="3" s="1"/>
  <c r="H40" i="3"/>
  <c r="K40" i="3" s="1"/>
  <c r="F30" i="5"/>
  <c r="L30" i="5" s="1"/>
  <c r="AU39" i="3"/>
  <c r="BJ39" i="3"/>
  <c r="C30" i="5" s="1"/>
  <c r="AX30" i="5" s="1"/>
  <c r="C36" i="6" s="1"/>
  <c r="AG30" i="5"/>
  <c r="AV39" i="3"/>
  <c r="BL39" i="3" s="1"/>
  <c r="D36" i="6" s="1"/>
  <c r="AQ60" i="3"/>
  <c r="AI51" i="5" s="1"/>
  <c r="AK57" i="6" s="1"/>
  <c r="X28" i="24"/>
  <c r="AD28" i="25"/>
  <c r="E36" i="6" l="1"/>
  <c r="F36" i="6" s="1"/>
  <c r="G36" i="6" s="1"/>
  <c r="D37" i="2" s="1"/>
  <c r="L40" i="3"/>
  <c r="AN30" i="5"/>
  <c r="U30" i="5"/>
  <c r="AF30" i="5" s="1"/>
  <c r="P30" i="5"/>
  <c r="W30" i="5"/>
  <c r="AQ61" i="3"/>
  <c r="AI52" i="5" s="1"/>
  <c r="AK58" i="6" s="1"/>
  <c r="Q28" i="24"/>
  <c r="AM30" i="5" l="1"/>
  <c r="M40" i="3"/>
  <c r="T30" i="5"/>
  <c r="Y30" i="5" s="1"/>
  <c r="W36" i="6"/>
  <c r="J36" i="6"/>
  <c r="U36" i="6" s="1"/>
  <c r="I36" i="6"/>
  <c r="Y36" i="6"/>
  <c r="V36" i="6"/>
  <c r="BC36" i="6" l="1"/>
  <c r="AI36" i="6"/>
  <c r="AP36" i="6" s="1"/>
  <c r="BB36" i="6"/>
  <c r="O40" i="3"/>
  <c r="AB40" i="3"/>
  <c r="AW40" i="3" s="1"/>
  <c r="AO31" i="5" s="1"/>
  <c r="P40" i="3"/>
  <c r="AA40" i="3" s="1"/>
  <c r="AC40" i="3"/>
  <c r="AX40" i="3" s="1"/>
  <c r="AP31" i="5" s="1"/>
  <c r="AE40" i="3"/>
  <c r="AZ40" i="3" s="1"/>
  <c r="AR31" i="5" s="1"/>
  <c r="N40" i="3"/>
  <c r="R36" i="6"/>
  <c r="AH36" i="6" s="1"/>
  <c r="T36" i="6"/>
  <c r="V40" i="3" l="1"/>
  <c r="U40" i="3" s="1"/>
  <c r="R40" i="3"/>
  <c r="AM40" i="3"/>
  <c r="C37" i="2"/>
  <c r="Z40" i="3"/>
  <c r="X40" i="3"/>
  <c r="W40" i="3" s="1"/>
  <c r="S40" i="3"/>
  <c r="AN40" i="3"/>
  <c r="Y40" i="3"/>
  <c r="C41" i="3"/>
  <c r="BK40" i="3"/>
  <c r="AY31" i="5" s="1"/>
  <c r="AO40" i="3"/>
  <c r="Q36" i="6"/>
  <c r="AA36" i="6" s="1"/>
  <c r="AO36" i="6" s="1"/>
  <c r="BA40" i="3" l="1"/>
  <c r="D41" i="3"/>
  <c r="F41" i="3" s="1"/>
  <c r="I41" i="3" s="1"/>
  <c r="E41" i="3"/>
  <c r="G41" i="3" s="1"/>
  <c r="J41" i="3" s="1"/>
  <c r="BC40" i="3"/>
  <c r="F31" i="5"/>
  <c r="L31" i="5" s="1"/>
  <c r="AU40" i="3"/>
  <c r="H41" i="3"/>
  <c r="K41" i="3" s="1"/>
  <c r="BJ40" i="3"/>
  <c r="C31" i="5" s="1"/>
  <c r="AX31" i="5" s="1"/>
  <c r="C37" i="6" s="1"/>
  <c r="AG31" i="5"/>
  <c r="AV40" i="3"/>
  <c r="BL40" i="3" s="1"/>
  <c r="D37" i="6" s="1"/>
  <c r="AJ40" i="3"/>
  <c r="AT40" i="3"/>
  <c r="L41" i="3" l="1"/>
  <c r="M41" i="3" s="1"/>
  <c r="P41" i="3" s="1"/>
  <c r="AA41" i="3" s="1"/>
  <c r="AN31" i="5"/>
  <c r="U31" i="5"/>
  <c r="AF31" i="5" s="1"/>
  <c r="AM31" i="5" s="1"/>
  <c r="P31" i="5"/>
  <c r="W31" i="5"/>
  <c r="E37" i="6"/>
  <c r="F37" i="6" s="1"/>
  <c r="G37" i="6" s="1"/>
  <c r="D38" i="2" s="1"/>
  <c r="O41" i="3" l="1"/>
  <c r="X41" i="3" s="1"/>
  <c r="W41" i="3" s="1"/>
  <c r="N41" i="3"/>
  <c r="Y41" i="3" s="1"/>
  <c r="AB41" i="3"/>
  <c r="AW41" i="3" s="1"/>
  <c r="AO32" i="5" s="1"/>
  <c r="AC41" i="3"/>
  <c r="AX41" i="3" s="1"/>
  <c r="AP32" i="5" s="1"/>
  <c r="AE41" i="3"/>
  <c r="AZ41" i="3" s="1"/>
  <c r="AR32" i="5" s="1"/>
  <c r="T31" i="5"/>
  <c r="Y31" i="5" s="1"/>
  <c r="W37" i="6"/>
  <c r="J37" i="6"/>
  <c r="U37" i="6" s="1"/>
  <c r="V37" i="6"/>
  <c r="Y37" i="6"/>
  <c r="I37" i="6"/>
  <c r="AO41" i="3"/>
  <c r="C42" i="3"/>
  <c r="BK41" i="3"/>
  <c r="AY32" i="5" s="1"/>
  <c r="AM41" i="3" l="1"/>
  <c r="AT41" i="3" s="1"/>
  <c r="Z41" i="3"/>
  <c r="AN41" i="3"/>
  <c r="F32" i="5" s="1"/>
  <c r="L32" i="5" s="1"/>
  <c r="S41" i="3"/>
  <c r="V41" i="3"/>
  <c r="U41" i="3" s="1"/>
  <c r="BC41" i="3" s="1"/>
  <c r="R41" i="3"/>
  <c r="AJ41" i="3" s="1"/>
  <c r="E42" i="3"/>
  <c r="G42" i="3" s="1"/>
  <c r="J42" i="3" s="1"/>
  <c r="D42" i="3"/>
  <c r="F42" i="3" s="1"/>
  <c r="I42" i="3" s="1"/>
  <c r="T37" i="6"/>
  <c r="R37" i="6"/>
  <c r="AH37" i="6" s="1"/>
  <c r="BJ41" i="3"/>
  <c r="C32" i="5" s="1"/>
  <c r="AX32" i="5" s="1"/>
  <c r="C38" i="6" s="1"/>
  <c r="AG32" i="5"/>
  <c r="AV41" i="3"/>
  <c r="BL41" i="3" s="1"/>
  <c r="D38" i="6" s="1"/>
  <c r="BB37" i="6"/>
  <c r="BC37" i="6"/>
  <c r="AI37" i="6"/>
  <c r="AP37" i="6" s="1"/>
  <c r="H42" i="3"/>
  <c r="K42" i="3" s="1"/>
  <c r="AU41" i="3" l="1"/>
  <c r="BA41" i="3"/>
  <c r="L42" i="3"/>
  <c r="M42" i="3" s="1"/>
  <c r="E38" i="6"/>
  <c r="F38" i="6" s="1"/>
  <c r="G38" i="6" s="1"/>
  <c r="D39" i="2" s="1"/>
  <c r="Q37" i="6"/>
  <c r="AA37" i="6" s="1"/>
  <c r="AO37" i="6" s="1"/>
  <c r="AN32" i="5"/>
  <c r="U32" i="5"/>
  <c r="AF32" i="5" s="1"/>
  <c r="P32" i="5"/>
  <c r="W32" i="5"/>
  <c r="C38" i="2"/>
  <c r="AM32" i="5" l="1"/>
  <c r="T32" i="5"/>
  <c r="Y32" i="5" s="1"/>
  <c r="V38" i="6"/>
  <c r="J38" i="6"/>
  <c r="U38" i="6" s="1"/>
  <c r="W38" i="6"/>
  <c r="I38" i="6"/>
  <c r="Y38" i="6"/>
  <c r="AC42" i="3"/>
  <c r="AX42" i="3" s="1"/>
  <c r="AP33" i="5" s="1"/>
  <c r="AE42" i="3"/>
  <c r="AZ42" i="3" s="1"/>
  <c r="AR33" i="5" s="1"/>
  <c r="AB42" i="3"/>
  <c r="AW42" i="3" s="1"/>
  <c r="AO33" i="5" s="1"/>
  <c r="P42" i="3"/>
  <c r="AA42" i="3" s="1"/>
  <c r="N42" i="3"/>
  <c r="O42" i="3"/>
  <c r="R38" i="6" l="1"/>
  <c r="Q38" i="6" s="1"/>
  <c r="AA38" i="6" s="1"/>
  <c r="V42" i="3"/>
  <c r="U42" i="3" s="1"/>
  <c r="R42" i="3"/>
  <c r="AJ42" i="3" s="1"/>
  <c r="AM42" i="3"/>
  <c r="T38" i="6"/>
  <c r="AO42" i="3"/>
  <c r="C43" i="3"/>
  <c r="BK42" i="3"/>
  <c r="AY33" i="5" s="1"/>
  <c r="Y42" i="3"/>
  <c r="S42" i="3"/>
  <c r="X42" i="3"/>
  <c r="W42" i="3" s="1"/>
  <c r="AN42" i="3"/>
  <c r="Z42" i="3"/>
  <c r="BB38" i="6"/>
  <c r="BC38" i="6"/>
  <c r="AI38" i="6"/>
  <c r="AP38" i="6" s="1"/>
  <c r="AH38" i="6" l="1"/>
  <c r="D43" i="3"/>
  <c r="F43" i="3" s="1"/>
  <c r="I43" i="3" s="1"/>
  <c r="E43" i="3"/>
  <c r="G43" i="3" s="1"/>
  <c r="J43" i="3" s="1"/>
  <c r="BA42" i="3"/>
  <c r="BJ42" i="3"/>
  <c r="C33" i="5" s="1"/>
  <c r="AX33" i="5" s="1"/>
  <c r="C39" i="6" s="1"/>
  <c r="AG33" i="5"/>
  <c r="C39" i="2"/>
  <c r="AO38" i="6"/>
  <c r="BC42" i="3"/>
  <c r="AV42" i="3"/>
  <c r="BL42" i="3" s="1"/>
  <c r="D39" i="6" s="1"/>
  <c r="AU42" i="3"/>
  <c r="F33" i="5"/>
  <c r="L33" i="5" s="1"/>
  <c r="H43" i="3"/>
  <c r="K43" i="3" s="1"/>
  <c r="AT42" i="3"/>
  <c r="L43" i="3" l="1"/>
  <c r="M43" i="3" s="1"/>
  <c r="AB43" i="3" s="1"/>
  <c r="AW43" i="3" s="1"/>
  <c r="AO34" i="5" s="1"/>
  <c r="E39" i="6"/>
  <c r="F39" i="6" s="1"/>
  <c r="G39" i="6" s="1"/>
  <c r="AN33" i="5"/>
  <c r="P33" i="5"/>
  <c r="U33" i="5"/>
  <c r="AF33" i="5" s="1"/>
  <c r="W33" i="5"/>
  <c r="N43" i="3" l="1"/>
  <c r="R43" i="3" s="1"/>
  <c r="AJ43" i="3" s="1"/>
  <c r="O43" i="3"/>
  <c r="Z43" i="3" s="1"/>
  <c r="AE43" i="3"/>
  <c r="AZ43" i="3" s="1"/>
  <c r="AR34" i="5" s="1"/>
  <c r="P43" i="3"/>
  <c r="AA43" i="3" s="1"/>
  <c r="AC43" i="3"/>
  <c r="AX43" i="3" s="1"/>
  <c r="AP34" i="5" s="1"/>
  <c r="V39" i="6"/>
  <c r="I39" i="6"/>
  <c r="Y39" i="6"/>
  <c r="J39" i="6"/>
  <c r="U39" i="6" s="1"/>
  <c r="W39" i="6"/>
  <c r="T33" i="5"/>
  <c r="Y33" i="5" s="1"/>
  <c r="AM33" i="5"/>
  <c r="D40" i="2"/>
  <c r="AO43" i="3" l="1"/>
  <c r="AN43" i="3"/>
  <c r="AU43" i="3" s="1"/>
  <c r="BK43" i="3"/>
  <c r="AY34" i="5" s="1"/>
  <c r="C44" i="3"/>
  <c r="D44" i="3" s="1"/>
  <c r="F44" i="3" s="1"/>
  <c r="I44" i="3" s="1"/>
  <c r="AM43" i="3"/>
  <c r="Y43" i="3"/>
  <c r="BA43" i="3" s="1"/>
  <c r="V43" i="3"/>
  <c r="U43" i="3" s="1"/>
  <c r="S43" i="3"/>
  <c r="X43" i="3"/>
  <c r="W43" i="3" s="1"/>
  <c r="R39" i="6"/>
  <c r="Q39" i="6" s="1"/>
  <c r="AA39" i="6" s="1"/>
  <c r="T39" i="6"/>
  <c r="F34" i="5"/>
  <c r="L34" i="5" s="1"/>
  <c r="BJ43" i="3"/>
  <c r="C34" i="5" s="1"/>
  <c r="AX34" i="5" s="1"/>
  <c r="C40" i="6" s="1"/>
  <c r="AG34" i="5"/>
  <c r="BB39" i="6"/>
  <c r="C40" i="2" s="1"/>
  <c r="BC39" i="6"/>
  <c r="AI39" i="6"/>
  <c r="AP39" i="6" s="1"/>
  <c r="AV43" i="3"/>
  <c r="BL43" i="3" s="1"/>
  <c r="D40" i="6" s="1"/>
  <c r="H44" i="3" l="1"/>
  <c r="K44" i="3" s="1"/>
  <c r="E44" i="3"/>
  <c r="G44" i="3" s="1"/>
  <c r="J44" i="3" s="1"/>
  <c r="BC43" i="3"/>
  <c r="AT43" i="3"/>
  <c r="AH39" i="6"/>
  <c r="AO39" i="6" s="1"/>
  <c r="E40" i="6"/>
  <c r="F40" i="6" s="1"/>
  <c r="G40" i="6" s="1"/>
  <c r="D41" i="2" s="1"/>
  <c r="AN34" i="5"/>
  <c r="U34" i="5"/>
  <c r="AF34" i="5" s="1"/>
  <c r="P34" i="5"/>
  <c r="W34" i="5"/>
  <c r="L44" i="3" l="1"/>
  <c r="M44" i="3" s="1"/>
  <c r="AC44" i="3" s="1"/>
  <c r="AX44" i="3" s="1"/>
  <c r="AP35" i="5" s="1"/>
  <c r="AM34" i="5"/>
  <c r="V40" i="6"/>
  <c r="W40" i="6"/>
  <c r="J40" i="6"/>
  <c r="U40" i="6" s="1"/>
  <c r="I40" i="6"/>
  <c r="Y40" i="6"/>
  <c r="T34" i="5"/>
  <c r="Y34" i="5" s="1"/>
  <c r="N44" i="3" l="1"/>
  <c r="Y44" i="3" s="1"/>
  <c r="AE44" i="3"/>
  <c r="AZ44" i="3" s="1"/>
  <c r="AR35" i="5" s="1"/>
  <c r="P44" i="3"/>
  <c r="AA44" i="3" s="1"/>
  <c r="AB44" i="3"/>
  <c r="AW44" i="3" s="1"/>
  <c r="AO35" i="5" s="1"/>
  <c r="O44" i="3"/>
  <c r="Z44" i="3" s="1"/>
  <c r="BB40" i="6"/>
  <c r="BC40" i="6"/>
  <c r="AI40" i="6"/>
  <c r="AP40" i="6" s="1"/>
  <c r="T40" i="6"/>
  <c r="R40" i="6"/>
  <c r="V44" i="3" l="1"/>
  <c r="U44" i="3" s="1"/>
  <c r="R44" i="3"/>
  <c r="AJ44" i="3" s="1"/>
  <c r="AM44" i="3"/>
  <c r="AT44" i="3" s="1"/>
  <c r="AO44" i="3"/>
  <c r="BJ44" i="3" s="1"/>
  <c r="C35" i="5" s="1"/>
  <c r="AX35" i="5" s="1"/>
  <c r="C41" i="6" s="1"/>
  <c r="BA44" i="3"/>
  <c r="BK44" i="3"/>
  <c r="AY35" i="5" s="1"/>
  <c r="C45" i="3"/>
  <c r="D45" i="3" s="1"/>
  <c r="F45" i="3" s="1"/>
  <c r="I45" i="3" s="1"/>
  <c r="S44" i="3"/>
  <c r="AN44" i="3"/>
  <c r="F35" i="5" s="1"/>
  <c r="X44" i="3"/>
  <c r="W44" i="3" s="1"/>
  <c r="BC44" i="3" s="1"/>
  <c r="Q40" i="6"/>
  <c r="AA40" i="6" s="1"/>
  <c r="AH40" i="6"/>
  <c r="C41" i="2"/>
  <c r="L35" i="5" l="1"/>
  <c r="P35" i="5" s="1"/>
  <c r="AG35" i="5"/>
  <c r="H45" i="3"/>
  <c r="K45" i="3" s="1"/>
  <c r="AV44" i="3"/>
  <c r="BL44" i="3" s="1"/>
  <c r="D41" i="6" s="1"/>
  <c r="E41" i="6" s="1"/>
  <c r="F41" i="6" s="1"/>
  <c r="G41" i="6" s="1"/>
  <c r="D42" i="2" s="1"/>
  <c r="E45" i="3"/>
  <c r="G45" i="3" s="1"/>
  <c r="J45" i="3" s="1"/>
  <c r="AU44" i="3"/>
  <c r="AO40" i="6"/>
  <c r="AN35" i="5" l="1"/>
  <c r="U35" i="5"/>
  <c r="AF35" i="5" s="1"/>
  <c r="AM35" i="5" s="1"/>
  <c r="W35" i="5"/>
  <c r="I41" i="6" s="1"/>
  <c r="L45" i="3"/>
  <c r="M45" i="3" s="1"/>
  <c r="AB45" i="3" s="1"/>
  <c r="AW45" i="3" s="1"/>
  <c r="AO36" i="5" s="1"/>
  <c r="Y41" i="6"/>
  <c r="V41" i="6"/>
  <c r="W41" i="6"/>
  <c r="J41" i="6"/>
  <c r="U41" i="6" s="1"/>
  <c r="P45" i="3"/>
  <c r="BK45" i="3" s="1"/>
  <c r="AY36" i="5" s="1"/>
  <c r="T35" i="5" l="1"/>
  <c r="Y35" i="5" s="1"/>
  <c r="T41" i="6"/>
  <c r="AC45" i="3"/>
  <c r="AX45" i="3" s="1"/>
  <c r="AP36" i="5" s="1"/>
  <c r="N45" i="3"/>
  <c r="R45" i="3" s="1"/>
  <c r="AJ45" i="3" s="1"/>
  <c r="AE45" i="3"/>
  <c r="AZ45" i="3" s="1"/>
  <c r="AR36" i="5" s="1"/>
  <c r="O45" i="3"/>
  <c r="Z45" i="3" s="1"/>
  <c r="BB41" i="6"/>
  <c r="C42" i="2" s="1"/>
  <c r="AI41" i="6"/>
  <c r="AP41" i="6" s="1"/>
  <c r="R41" i="6"/>
  <c r="AH41" i="6" s="1"/>
  <c r="BC41" i="6"/>
  <c r="AA45" i="3"/>
  <c r="AO45" i="3"/>
  <c r="BJ45" i="3" s="1"/>
  <c r="C36" i="5" s="1"/>
  <c r="AX36" i="5" s="1"/>
  <c r="C42" i="6" s="1"/>
  <c r="C46" i="3"/>
  <c r="H46" i="3" s="1"/>
  <c r="K46" i="3" s="1"/>
  <c r="AN45" i="3" l="1"/>
  <c r="AU45" i="3" s="1"/>
  <c r="X45" i="3"/>
  <c r="W45" i="3" s="1"/>
  <c r="AM45" i="3"/>
  <c r="V45" i="3"/>
  <c r="U45" i="3" s="1"/>
  <c r="Y45" i="3"/>
  <c r="BA45" i="3" s="1"/>
  <c r="S45" i="3"/>
  <c r="Q41" i="6"/>
  <c r="AA41" i="6" s="1"/>
  <c r="AO41" i="6" s="1"/>
  <c r="AV45" i="3"/>
  <c r="BL45" i="3" s="1"/>
  <c r="D42" i="6" s="1"/>
  <c r="E42" i="6" s="1"/>
  <c r="F42" i="6" s="1"/>
  <c r="G42" i="6" s="1"/>
  <c r="AG36" i="5"/>
  <c r="F36" i="5"/>
  <c r="D46" i="3"/>
  <c r="F46" i="3" s="1"/>
  <c r="I46" i="3" s="1"/>
  <c r="E46" i="3"/>
  <c r="G46" i="3" s="1"/>
  <c r="J46" i="3" s="1"/>
  <c r="BC45" i="3" l="1"/>
  <c r="AT45" i="3"/>
  <c r="L36" i="5"/>
  <c r="W36" i="5" s="1"/>
  <c r="I42" i="6" s="1"/>
  <c r="AN36" i="5"/>
  <c r="L46" i="3"/>
  <c r="M46" i="3" s="1"/>
  <c r="AC46" i="3" s="1"/>
  <c r="AX46" i="3" s="1"/>
  <c r="AP37" i="5" s="1"/>
  <c r="V42" i="6"/>
  <c r="W42" i="6"/>
  <c r="Y42" i="6"/>
  <c r="J42" i="6"/>
  <c r="D43" i="2"/>
  <c r="P36" i="5" l="1"/>
  <c r="U36" i="5"/>
  <c r="AF36" i="5" s="1"/>
  <c r="AM36" i="5" s="1"/>
  <c r="AB46" i="3"/>
  <c r="AW46" i="3" s="1"/>
  <c r="AO37" i="5" s="1"/>
  <c r="O46" i="3"/>
  <c r="AN46" i="3" s="1"/>
  <c r="F37" i="5" s="1"/>
  <c r="L37" i="5" s="1"/>
  <c r="P46" i="3"/>
  <c r="BK46" i="3" s="1"/>
  <c r="AY37" i="5" s="1"/>
  <c r="AE46" i="3"/>
  <c r="AZ46" i="3" s="1"/>
  <c r="AR37" i="5" s="1"/>
  <c r="N46" i="3"/>
  <c r="V46" i="3" s="1"/>
  <c r="U46" i="3" s="1"/>
  <c r="AI42" i="6"/>
  <c r="AP42" i="6" s="1"/>
  <c r="BC42" i="6"/>
  <c r="BB42" i="6"/>
  <c r="C43" i="2" s="1"/>
  <c r="U42" i="6"/>
  <c r="T36" i="5" l="1"/>
  <c r="Y36" i="5" s="1"/>
  <c r="R42" i="6" s="1"/>
  <c r="Q42" i="6" s="1"/>
  <c r="AA42" i="6" s="1"/>
  <c r="T42" i="6"/>
  <c r="AO46" i="3"/>
  <c r="BJ46" i="3" s="1"/>
  <c r="C37" i="5" s="1"/>
  <c r="AX37" i="5" s="1"/>
  <c r="C43" i="6" s="1"/>
  <c r="Z46" i="3"/>
  <c r="AU46" i="3" s="1"/>
  <c r="X46" i="3"/>
  <c r="W46" i="3" s="1"/>
  <c r="BC46" i="3" s="1"/>
  <c r="AM46" i="3"/>
  <c r="S46" i="3"/>
  <c r="Y46" i="3"/>
  <c r="R46" i="3"/>
  <c r="AJ46" i="3" s="1"/>
  <c r="AA46" i="3"/>
  <c r="AV46" i="3" s="1"/>
  <c r="BL46" i="3" s="1"/>
  <c r="D43" i="6" s="1"/>
  <c r="E43" i="6" s="1"/>
  <c r="F43" i="6" s="1"/>
  <c r="G43" i="6" s="1"/>
  <c r="C47" i="3"/>
  <c r="U37" i="5"/>
  <c r="AF37" i="5" s="1"/>
  <c r="P37" i="5"/>
  <c r="W37" i="5"/>
  <c r="AG37" i="5" l="1"/>
  <c r="AN37" i="5" s="1"/>
  <c r="AH42" i="6"/>
  <c r="AO42" i="6" s="1"/>
  <c r="AM37" i="5"/>
  <c r="BA46" i="3"/>
  <c r="D47" i="3"/>
  <c r="F47" i="3" s="1"/>
  <c r="I47" i="3" s="1"/>
  <c r="E47" i="3"/>
  <c r="G47" i="3" s="1"/>
  <c r="J47" i="3" s="1"/>
  <c r="H47" i="3"/>
  <c r="K47" i="3" s="1"/>
  <c r="AT46" i="3"/>
  <c r="Y43" i="6"/>
  <c r="V43" i="6"/>
  <c r="J43" i="6"/>
  <c r="W43" i="6"/>
  <c r="I43" i="6"/>
  <c r="T37" i="5"/>
  <c r="Y37" i="5" s="1"/>
  <c r="D44" i="2"/>
  <c r="L47" i="3" l="1"/>
  <c r="M47" i="3" s="1"/>
  <c r="N47" i="3" s="1"/>
  <c r="R43" i="6"/>
  <c r="AH43" i="6" s="1"/>
  <c r="BB43" i="6"/>
  <c r="C44" i="2" s="1"/>
  <c r="BC43" i="6"/>
  <c r="AI43" i="6"/>
  <c r="AP43" i="6" s="1"/>
  <c r="T43" i="6"/>
  <c r="U43" i="6"/>
  <c r="Y47" i="3" l="1"/>
  <c r="V47" i="3"/>
  <c r="U47" i="3" s="1"/>
  <c r="R47" i="3"/>
  <c r="AJ47" i="3" s="1"/>
  <c r="AE47" i="3"/>
  <c r="AZ47" i="3" s="1"/>
  <c r="AR38" i="5" s="1"/>
  <c r="AB47" i="3"/>
  <c r="AW47" i="3" s="1"/>
  <c r="AO38" i="5" s="1"/>
  <c r="AC47" i="3"/>
  <c r="AX47" i="3" s="1"/>
  <c r="AP38" i="5" s="1"/>
  <c r="P47" i="3"/>
  <c r="O47" i="3"/>
  <c r="AM47" i="3"/>
  <c r="AT47" i="3" s="1"/>
  <c r="Q43" i="6"/>
  <c r="AA43" i="6" s="1"/>
  <c r="AO43" i="6" s="1"/>
  <c r="Z47" i="3" l="1"/>
  <c r="X47" i="3"/>
  <c r="W47" i="3" s="1"/>
  <c r="BC47" i="3" s="1"/>
  <c r="S47" i="3"/>
  <c r="AN47" i="3"/>
  <c r="AA47" i="3"/>
  <c r="C48" i="3"/>
  <c r="BK47" i="3"/>
  <c r="AY38" i="5" s="1"/>
  <c r="AO47" i="3"/>
  <c r="BA47" i="3" l="1"/>
  <c r="AV47" i="3"/>
  <c r="BL47" i="3" s="1"/>
  <c r="D44" i="6" s="1"/>
  <c r="E44" i="6" s="1"/>
  <c r="F44" i="6" s="1"/>
  <c r="G44" i="6" s="1"/>
  <c r="BJ47" i="3"/>
  <c r="C38" i="5" s="1"/>
  <c r="AX38" i="5" s="1"/>
  <c r="C44" i="6" s="1"/>
  <c r="AG38" i="5"/>
  <c r="AU47" i="3"/>
  <c r="F38" i="5"/>
  <c r="L38" i="5" s="1"/>
  <c r="E48" i="3"/>
  <c r="G48" i="3" s="1"/>
  <c r="J48" i="3" s="1"/>
  <c r="H48" i="3"/>
  <c r="K48" i="3" s="1"/>
  <c r="D48" i="3"/>
  <c r="F48" i="3" s="1"/>
  <c r="I48" i="3" s="1"/>
  <c r="P38" i="5" l="1"/>
  <c r="W38" i="5"/>
  <c r="I44" i="6" s="1"/>
  <c r="U38" i="5"/>
  <c r="AF38" i="5" s="1"/>
  <c r="AM38" i="5" s="1"/>
  <c r="D45" i="2"/>
  <c r="J44" i="6"/>
  <c r="Y44" i="6"/>
  <c r="W44" i="6"/>
  <c r="V44" i="6"/>
  <c r="L48" i="3"/>
  <c r="M48" i="3" s="1"/>
  <c r="AN38" i="5"/>
  <c r="AC48" i="3" l="1"/>
  <c r="AX48" i="3" s="1"/>
  <c r="AP39" i="5" s="1"/>
  <c r="P48" i="3"/>
  <c r="N48" i="3"/>
  <c r="AB48" i="3"/>
  <c r="AW48" i="3" s="1"/>
  <c r="AO39" i="5" s="1"/>
  <c r="AE48" i="3"/>
  <c r="AZ48" i="3" s="1"/>
  <c r="AR39" i="5" s="1"/>
  <c r="O48" i="3"/>
  <c r="AI44" i="6"/>
  <c r="AP44" i="6" s="1"/>
  <c r="U44" i="6"/>
  <c r="BC44" i="6"/>
  <c r="BB44" i="6"/>
  <c r="C45" i="2" s="1"/>
  <c r="T44" i="6"/>
  <c r="T38" i="5"/>
  <c r="Y38" i="5" s="1"/>
  <c r="R44" i="6" s="1"/>
  <c r="Q44" i="6" s="1"/>
  <c r="AA44" i="6" s="1"/>
  <c r="Y48" i="3" l="1"/>
  <c r="V48" i="3"/>
  <c r="U48" i="3" s="1"/>
  <c r="R48" i="3"/>
  <c r="AJ48" i="3" s="1"/>
  <c r="AM48" i="3"/>
  <c r="AH44" i="6"/>
  <c r="AO44" i="6" s="1"/>
  <c r="Z48" i="3"/>
  <c r="AN48" i="3"/>
  <c r="X48" i="3"/>
  <c r="W48" i="3" s="1"/>
  <c r="S48" i="3"/>
  <c r="AA48" i="3"/>
  <c r="C49" i="3"/>
  <c r="BK48" i="3"/>
  <c r="AY39" i="5" s="1"/>
  <c r="AO48" i="3"/>
  <c r="BA48" i="3" l="1"/>
  <c r="AT48" i="3"/>
  <c r="F39" i="5"/>
  <c r="L39" i="5" s="1"/>
  <c r="AU48" i="3"/>
  <c r="D49" i="3"/>
  <c r="F49" i="3" s="1"/>
  <c r="I49" i="3" s="1"/>
  <c r="E49" i="3"/>
  <c r="G49" i="3" s="1"/>
  <c r="J49" i="3" s="1"/>
  <c r="H49" i="3"/>
  <c r="K49" i="3" s="1"/>
  <c r="AG39" i="5"/>
  <c r="BJ48" i="3"/>
  <c r="C39" i="5" s="1"/>
  <c r="AX39" i="5" s="1"/>
  <c r="C45" i="6" s="1"/>
  <c r="AV48" i="3"/>
  <c r="BL48" i="3" s="1"/>
  <c r="D45" i="6" s="1"/>
  <c r="E45" i="6" s="1"/>
  <c r="F45" i="6" s="1"/>
  <c r="G45" i="6" s="1"/>
  <c r="D46" i="2" s="1"/>
  <c r="BC48" i="3"/>
  <c r="W45" i="6" l="1"/>
  <c r="Y45" i="6"/>
  <c r="AN39" i="5"/>
  <c r="V45" i="6"/>
  <c r="W39" i="5"/>
  <c r="I45" i="6" s="1"/>
  <c r="U39" i="5"/>
  <c r="P39" i="5"/>
  <c r="J45" i="6"/>
  <c r="U45" i="6" s="1"/>
  <c r="L49" i="3"/>
  <c r="M49" i="3" s="1"/>
  <c r="BC45" i="6" l="1"/>
  <c r="AF39" i="5"/>
  <c r="T39" i="5"/>
  <c r="Y39" i="5" s="1"/>
  <c r="BB45" i="6"/>
  <c r="AI45" i="6"/>
  <c r="AP45" i="6" s="1"/>
  <c r="AC49" i="3"/>
  <c r="AX49" i="3" s="1"/>
  <c r="AP40" i="5" s="1"/>
  <c r="P49" i="3"/>
  <c r="N49" i="3"/>
  <c r="AE49" i="3"/>
  <c r="AZ49" i="3" s="1"/>
  <c r="AR40" i="5" s="1"/>
  <c r="O49" i="3"/>
  <c r="AB49" i="3"/>
  <c r="AW49" i="3" s="1"/>
  <c r="AO40" i="5" s="1"/>
  <c r="C46" i="2" l="1"/>
  <c r="Y49" i="3"/>
  <c r="V49" i="3"/>
  <c r="U49" i="3" s="1"/>
  <c r="R49" i="3"/>
  <c r="AJ49" i="3" s="1"/>
  <c r="AM49" i="3"/>
  <c r="C50" i="3"/>
  <c r="BK49" i="3"/>
  <c r="AY40" i="5" s="1"/>
  <c r="AO49" i="3"/>
  <c r="AA49" i="3"/>
  <c r="X49" i="3"/>
  <c r="W49" i="3" s="1"/>
  <c r="S49" i="3"/>
  <c r="AN49" i="3"/>
  <c r="Z49" i="3"/>
  <c r="AM39" i="5"/>
  <c r="T45" i="6"/>
  <c r="R45" i="6"/>
  <c r="AT49" i="3" l="1"/>
  <c r="AH45" i="6"/>
  <c r="Q45" i="6"/>
  <c r="AA45" i="6" s="1"/>
  <c r="AU49" i="3"/>
  <c r="F40" i="5"/>
  <c r="L40" i="5" s="1"/>
  <c r="AG40" i="5"/>
  <c r="AV49" i="3"/>
  <c r="BL49" i="3" s="1"/>
  <c r="D46" i="6" s="1"/>
  <c r="E46" i="6" s="1"/>
  <c r="F46" i="6" s="1"/>
  <c r="G46" i="6" s="1"/>
  <c r="BJ49" i="3"/>
  <c r="C40" i="5" s="1"/>
  <c r="AX40" i="5" s="1"/>
  <c r="C46" i="6" s="1"/>
  <c r="BC49" i="3"/>
  <c r="E50" i="3"/>
  <c r="G50" i="3" s="1"/>
  <c r="J50" i="3" s="1"/>
  <c r="D50" i="3"/>
  <c r="F50" i="3" s="1"/>
  <c r="I50" i="3" s="1"/>
  <c r="H50" i="3"/>
  <c r="K50" i="3" s="1"/>
  <c r="BA49" i="3"/>
  <c r="L50" i="3" l="1"/>
  <c r="M50" i="3" s="1"/>
  <c r="P50" i="3" s="1"/>
  <c r="AO50" i="3" s="1"/>
  <c r="AO45" i="6"/>
  <c r="P40" i="5"/>
  <c r="W40" i="5"/>
  <c r="I46" i="6" s="1"/>
  <c r="U40" i="5"/>
  <c r="N50" i="3"/>
  <c r="Y50" i="3" s="1"/>
  <c r="D47" i="2"/>
  <c r="J46" i="6"/>
  <c r="V46" i="6"/>
  <c r="Y46" i="6"/>
  <c r="W46" i="6"/>
  <c r="O50" i="3"/>
  <c r="Z50" i="3" s="1"/>
  <c r="AB50" i="3"/>
  <c r="AW50" i="3" s="1"/>
  <c r="AO41" i="5" s="1"/>
  <c r="AN40" i="5"/>
  <c r="BK50" i="3"/>
  <c r="AY41" i="5" s="1"/>
  <c r="C51" i="3"/>
  <c r="AA50" i="3"/>
  <c r="AM50" i="3" l="1"/>
  <c r="AT50" i="3" s="1"/>
  <c r="AC50" i="3"/>
  <c r="AX50" i="3" s="1"/>
  <c r="AP41" i="5" s="1"/>
  <c r="X50" i="3"/>
  <c r="W50" i="3" s="1"/>
  <c r="V50" i="3"/>
  <c r="U50" i="3" s="1"/>
  <c r="AN50" i="3"/>
  <c r="AU50" i="3" s="1"/>
  <c r="AE50" i="3"/>
  <c r="AZ50" i="3" s="1"/>
  <c r="AR41" i="5" s="1"/>
  <c r="R50" i="3"/>
  <c r="AJ50" i="3" s="1"/>
  <c r="AI46" i="6"/>
  <c r="AP46" i="6" s="1"/>
  <c r="U46" i="6"/>
  <c r="BB46" i="6"/>
  <c r="C47" i="2" s="1"/>
  <c r="BC46" i="6"/>
  <c r="AF40" i="5"/>
  <c r="T40" i="5"/>
  <c r="Y40" i="5" s="1"/>
  <c r="S50" i="3"/>
  <c r="D51" i="3"/>
  <c r="F51" i="3" s="1"/>
  <c r="I51" i="3" s="1"/>
  <c r="E51" i="3"/>
  <c r="G51" i="3" s="1"/>
  <c r="J51" i="3" s="1"/>
  <c r="AV50" i="3"/>
  <c r="BL50" i="3" s="1"/>
  <c r="D47" i="6" s="1"/>
  <c r="E47" i="6" s="1"/>
  <c r="F47" i="6" s="1"/>
  <c r="G47" i="6" s="1"/>
  <c r="H51" i="3"/>
  <c r="K51" i="3" s="1"/>
  <c r="BJ50" i="3"/>
  <c r="C41" i="5" s="1"/>
  <c r="AX41" i="5" s="1"/>
  <c r="C47" i="6" s="1"/>
  <c r="AG41" i="5"/>
  <c r="BA50" i="3"/>
  <c r="BC50" i="3" l="1"/>
  <c r="F41" i="5"/>
  <c r="R46" i="6"/>
  <c r="AM40" i="5"/>
  <c r="T46" i="6"/>
  <c r="L51" i="3"/>
  <c r="M51" i="3" s="1"/>
  <c r="N51" i="3" s="1"/>
  <c r="V51" i="3" s="1"/>
  <c r="U51" i="3" s="1"/>
  <c r="W47" i="6"/>
  <c r="V47" i="6"/>
  <c r="J47" i="6"/>
  <c r="U47" i="6" s="1"/>
  <c r="Y47" i="6"/>
  <c r="AN41" i="5"/>
  <c r="D48" i="2"/>
  <c r="L41" i="5" l="1"/>
  <c r="W41" i="5" s="1"/>
  <c r="I47" i="6" s="1"/>
  <c r="AH46" i="6"/>
  <c r="Q46" i="6"/>
  <c r="AA46" i="6" s="1"/>
  <c r="AC51" i="3"/>
  <c r="AX51" i="3" s="1"/>
  <c r="AP42" i="5" s="1"/>
  <c r="P51" i="3"/>
  <c r="AA51" i="3" s="1"/>
  <c r="AE51" i="3"/>
  <c r="AZ51" i="3" s="1"/>
  <c r="AR42" i="5" s="1"/>
  <c r="O51" i="3"/>
  <c r="S51" i="3" s="1"/>
  <c r="AB51" i="3"/>
  <c r="AW51" i="3" s="1"/>
  <c r="AO42" i="5" s="1"/>
  <c r="AI47" i="6"/>
  <c r="AP47" i="6" s="1"/>
  <c r="AM51" i="3"/>
  <c r="R51" i="3"/>
  <c r="AJ51" i="3" s="1"/>
  <c r="Y51" i="3"/>
  <c r="BB47" i="6"/>
  <c r="C48" i="2" s="1"/>
  <c r="BC47" i="6"/>
  <c r="U41" i="5" l="1"/>
  <c r="AF41" i="5" s="1"/>
  <c r="AM41" i="5" s="1"/>
  <c r="P41" i="5"/>
  <c r="AO46" i="6"/>
  <c r="X51" i="3"/>
  <c r="W51" i="3" s="1"/>
  <c r="BC51" i="3" s="1"/>
  <c r="C52" i="3"/>
  <c r="E52" i="3" s="1"/>
  <c r="G52" i="3" s="1"/>
  <c r="J52" i="3" s="1"/>
  <c r="BK51" i="3"/>
  <c r="AY42" i="5" s="1"/>
  <c r="AO51" i="3"/>
  <c r="AV51" i="3" s="1"/>
  <c r="BL51" i="3" s="1"/>
  <c r="D48" i="6" s="1"/>
  <c r="E48" i="6" s="1"/>
  <c r="F48" i="6" s="1"/>
  <c r="G48" i="6" s="1"/>
  <c r="D49" i="2" s="1"/>
  <c r="Z51" i="3"/>
  <c r="BA51" i="3" s="1"/>
  <c r="AN51" i="3"/>
  <c r="F42" i="5" s="1"/>
  <c r="L42" i="5" s="1"/>
  <c r="AT51" i="3"/>
  <c r="T41" i="5" l="1"/>
  <c r="Y41" i="5" s="1"/>
  <c r="R47" i="6" s="1"/>
  <c r="AH47" i="6" s="1"/>
  <c r="T47" i="6"/>
  <c r="BJ51" i="3"/>
  <c r="C42" i="5" s="1"/>
  <c r="AX42" i="5" s="1"/>
  <c r="C48" i="6" s="1"/>
  <c r="H52" i="3"/>
  <c r="K52" i="3" s="1"/>
  <c r="D52" i="3"/>
  <c r="F52" i="3" s="1"/>
  <c r="I52" i="3" s="1"/>
  <c r="AG42" i="5"/>
  <c r="AN42" i="5" s="1"/>
  <c r="AU51" i="3"/>
  <c r="J48" i="6"/>
  <c r="Y48" i="6"/>
  <c r="U42" i="5"/>
  <c r="AF42" i="5" s="1"/>
  <c r="P42" i="5"/>
  <c r="W42" i="5"/>
  <c r="I48" i="6" l="1"/>
  <c r="T48" i="6" s="1"/>
  <c r="Q47" i="6"/>
  <c r="AA47" i="6" s="1"/>
  <c r="AO47" i="6" s="1"/>
  <c r="W48" i="6"/>
  <c r="V48" i="6"/>
  <c r="L52" i="3"/>
  <c r="M52" i="3" s="1"/>
  <c r="P52" i="3" s="1"/>
  <c r="AM42" i="5"/>
  <c r="AI48" i="6"/>
  <c r="AP48" i="6" s="1"/>
  <c r="BC48" i="6"/>
  <c r="BB48" i="6"/>
  <c r="T42" i="5"/>
  <c r="Y42" i="5" s="1"/>
  <c r="U48" i="6"/>
  <c r="R48" i="6" l="1"/>
  <c r="AH48" i="6" s="1"/>
  <c r="N52" i="3"/>
  <c r="Y52" i="3" s="1"/>
  <c r="AC52" i="3"/>
  <c r="AX52" i="3" s="1"/>
  <c r="AP43" i="5" s="1"/>
  <c r="AB52" i="3"/>
  <c r="AW52" i="3" s="1"/>
  <c r="AO43" i="5" s="1"/>
  <c r="AE52" i="3"/>
  <c r="AZ52" i="3" s="1"/>
  <c r="AR43" i="5" s="1"/>
  <c r="O52" i="3"/>
  <c r="Z52" i="3" s="1"/>
  <c r="AO52" i="3"/>
  <c r="BK52" i="3"/>
  <c r="AY43" i="5" s="1"/>
  <c r="C53" i="3"/>
  <c r="C49" i="2"/>
  <c r="AA52" i="3"/>
  <c r="Q48" i="6" l="1"/>
  <c r="AA48" i="6" s="1"/>
  <c r="AO48" i="6" s="1"/>
  <c r="S52" i="3"/>
  <c r="X52" i="3"/>
  <c r="W52" i="3" s="1"/>
  <c r="V52" i="3"/>
  <c r="U52" i="3" s="1"/>
  <c r="BC52" i="3" s="1"/>
  <c r="BA52" i="3"/>
  <c r="AM52" i="3"/>
  <c r="AT52" i="3" s="1"/>
  <c r="AN52" i="3"/>
  <c r="F43" i="5" s="1"/>
  <c r="L43" i="5" s="1"/>
  <c r="R52" i="3"/>
  <c r="AJ52" i="3" s="1"/>
  <c r="D53" i="3"/>
  <c r="F53" i="3" s="1"/>
  <c r="I53" i="3" s="1"/>
  <c r="E53" i="3"/>
  <c r="G53" i="3" s="1"/>
  <c r="J53" i="3" s="1"/>
  <c r="BJ52" i="3"/>
  <c r="C43" i="5" s="1"/>
  <c r="AX43" i="5" s="1"/>
  <c r="C49" i="6" s="1"/>
  <c r="AV52" i="3"/>
  <c r="BL52" i="3" s="1"/>
  <c r="D49" i="6" s="1"/>
  <c r="AG43" i="5"/>
  <c r="H53" i="3"/>
  <c r="K53" i="3" s="1"/>
  <c r="AU52" i="3" l="1"/>
  <c r="U43" i="5"/>
  <c r="AF43" i="5" s="1"/>
  <c r="AM43" i="5" s="1"/>
  <c r="P43" i="5"/>
  <c r="W43" i="5"/>
  <c r="AN43" i="5"/>
  <c r="E49" i="6"/>
  <c r="F49" i="6" s="1"/>
  <c r="G49" i="6" s="1"/>
  <c r="L53" i="3"/>
  <c r="M53" i="3" s="1"/>
  <c r="T43" i="5" l="1"/>
  <c r="Y43" i="5" s="1"/>
  <c r="Y49" i="6"/>
  <c r="J49" i="6"/>
  <c r="U49" i="6" s="1"/>
  <c r="W49" i="6"/>
  <c r="V49" i="6"/>
  <c r="I49" i="6"/>
  <c r="P53" i="3"/>
  <c r="AA53" i="3" s="1"/>
  <c r="AC53" i="3"/>
  <c r="AX53" i="3" s="1"/>
  <c r="AP44" i="5" s="1"/>
  <c r="AE53" i="3"/>
  <c r="AZ53" i="3" s="1"/>
  <c r="AR44" i="5" s="1"/>
  <c r="AB53" i="3"/>
  <c r="AW53" i="3" s="1"/>
  <c r="AO44" i="5" s="1"/>
  <c r="O53" i="3"/>
  <c r="Z53" i="3" s="1"/>
  <c r="N53" i="3"/>
  <c r="Y53" i="3" s="1"/>
  <c r="D50" i="2"/>
  <c r="AM53" i="3" l="1"/>
  <c r="AT53" i="3" s="1"/>
  <c r="V53" i="3"/>
  <c r="U53" i="3" s="1"/>
  <c r="R53" i="3"/>
  <c r="AJ53" i="3" s="1"/>
  <c r="AO53" i="3"/>
  <c r="BK53" i="3"/>
  <c r="AY44" i="5" s="1"/>
  <c r="C54" i="3"/>
  <c r="S53" i="3"/>
  <c r="X53" i="3"/>
  <c r="W53" i="3" s="1"/>
  <c r="AN53" i="3"/>
  <c r="BB49" i="6"/>
  <c r="C50" i="2" s="1"/>
  <c r="BC49" i="6"/>
  <c r="AI49" i="6"/>
  <c r="AP49" i="6" s="1"/>
  <c r="BA53" i="3"/>
  <c r="T49" i="6"/>
  <c r="R49" i="6"/>
  <c r="AH49" i="6" s="1"/>
  <c r="E54" i="3" l="1"/>
  <c r="G54" i="3" s="1"/>
  <c r="J54" i="3" s="1"/>
  <c r="D54" i="3"/>
  <c r="F54" i="3" s="1"/>
  <c r="I54" i="3" s="1"/>
  <c r="Q49" i="6"/>
  <c r="AA49" i="6" s="1"/>
  <c r="AO49" i="6" s="1"/>
  <c r="BJ53" i="3"/>
  <c r="C44" i="5" s="1"/>
  <c r="AX44" i="5" s="1"/>
  <c r="C50" i="6" s="1"/>
  <c r="AG44" i="5"/>
  <c r="BC53" i="3"/>
  <c r="F44" i="5"/>
  <c r="L44" i="5" s="1"/>
  <c r="AU53" i="3"/>
  <c r="H54" i="3"/>
  <c r="K54" i="3" s="1"/>
  <c r="AV53" i="3"/>
  <c r="BL53" i="3" s="1"/>
  <c r="D50" i="6" s="1"/>
  <c r="L54" i="3" l="1"/>
  <c r="M54" i="3" s="1"/>
  <c r="AB54" i="3" s="1"/>
  <c r="AW54" i="3" s="1"/>
  <c r="AO45" i="5" s="1"/>
  <c r="AN44" i="5"/>
  <c r="E50" i="6"/>
  <c r="F50" i="6" s="1"/>
  <c r="G50" i="6" s="1"/>
  <c r="D51" i="2" s="1"/>
  <c r="W44" i="5"/>
  <c r="U44" i="5"/>
  <c r="AF44" i="5" s="1"/>
  <c r="P44" i="5"/>
  <c r="O54" i="3" l="1"/>
  <c r="S54" i="3" s="1"/>
  <c r="N54" i="3"/>
  <c r="Y54" i="3" s="1"/>
  <c r="P54" i="3"/>
  <c r="C55" i="3" s="1"/>
  <c r="AC54" i="3"/>
  <c r="AX54" i="3" s="1"/>
  <c r="AP45" i="5" s="1"/>
  <c r="AE54" i="3"/>
  <c r="AZ54" i="3" s="1"/>
  <c r="AR45" i="5" s="1"/>
  <c r="T44" i="5"/>
  <c r="Y44" i="5" s="1"/>
  <c r="Y50" i="6"/>
  <c r="J50" i="6"/>
  <c r="V50" i="6"/>
  <c r="W50" i="6"/>
  <c r="AM44" i="5"/>
  <c r="I50" i="6"/>
  <c r="T50" i="6" s="1"/>
  <c r="AO54" i="3" l="1"/>
  <c r="AG45" i="5" s="1"/>
  <c r="X54" i="3"/>
  <c r="W54" i="3" s="1"/>
  <c r="V54" i="3"/>
  <c r="U54" i="3" s="1"/>
  <c r="Z54" i="3"/>
  <c r="AM54" i="3"/>
  <c r="AT54" i="3" s="1"/>
  <c r="AN54" i="3"/>
  <c r="F45" i="5" s="1"/>
  <c r="L45" i="5" s="1"/>
  <c r="R54" i="3"/>
  <c r="AJ54" i="3" s="1"/>
  <c r="BK54" i="3"/>
  <c r="AY45" i="5" s="1"/>
  <c r="AA54" i="3"/>
  <c r="D55" i="3"/>
  <c r="F55" i="3" s="1"/>
  <c r="I55" i="3" s="1"/>
  <c r="E55" i="3"/>
  <c r="G55" i="3" s="1"/>
  <c r="J55" i="3" s="1"/>
  <c r="U50" i="6"/>
  <c r="BC50" i="6"/>
  <c r="AI50" i="6"/>
  <c r="AP50" i="6" s="1"/>
  <c r="BB50" i="6"/>
  <c r="R50" i="6"/>
  <c r="AH50" i="6" s="1"/>
  <c r="H55" i="3"/>
  <c r="K55" i="3" s="1"/>
  <c r="BJ54" i="3" l="1"/>
  <c r="C45" i="5" s="1"/>
  <c r="AX45" i="5" s="1"/>
  <c r="C51" i="6" s="1"/>
  <c r="BC54" i="3"/>
  <c r="BA54" i="3"/>
  <c r="AU54" i="3"/>
  <c r="AV54" i="3"/>
  <c r="BL54" i="3" s="1"/>
  <c r="D51" i="6" s="1"/>
  <c r="E51" i="6" s="1"/>
  <c r="F51" i="6" s="1"/>
  <c r="G51" i="6" s="1"/>
  <c r="D52" i="2" s="1"/>
  <c r="L55" i="3"/>
  <c r="M55" i="3" s="1"/>
  <c r="AB55" i="3" s="1"/>
  <c r="AW55" i="3" s="1"/>
  <c r="AO46" i="5" s="1"/>
  <c r="Q50" i="6"/>
  <c r="AA50" i="6" s="1"/>
  <c r="AO50" i="6" s="1"/>
  <c r="C51" i="2"/>
  <c r="P45" i="5"/>
  <c r="U45" i="5"/>
  <c r="AF45" i="5" s="1"/>
  <c r="AM45" i="5" s="1"/>
  <c r="W45" i="5"/>
  <c r="AN45" i="5" l="1"/>
  <c r="N55" i="3"/>
  <c r="R55" i="3" s="1"/>
  <c r="AJ55" i="3" s="1"/>
  <c r="P55" i="3"/>
  <c r="C56" i="3" s="1"/>
  <c r="AE55" i="3"/>
  <c r="AZ55" i="3" s="1"/>
  <c r="AR46" i="5" s="1"/>
  <c r="O55" i="3"/>
  <c r="Z55" i="3" s="1"/>
  <c r="AC55" i="3"/>
  <c r="AX55" i="3" s="1"/>
  <c r="AP46" i="5" s="1"/>
  <c r="BK55" i="3"/>
  <c r="AY46" i="5" s="1"/>
  <c r="T45" i="5"/>
  <c r="Y45" i="5" s="1"/>
  <c r="V51" i="6"/>
  <c r="I51" i="6"/>
  <c r="Y51" i="6"/>
  <c r="J51" i="6"/>
  <c r="W51" i="6"/>
  <c r="Y55" i="3" l="1"/>
  <c r="V55" i="3"/>
  <c r="U55" i="3" s="1"/>
  <c r="AN55" i="3"/>
  <c r="F46" i="5" s="1"/>
  <c r="L46" i="5" s="1"/>
  <c r="X55" i="3"/>
  <c r="W55" i="3" s="1"/>
  <c r="S55" i="3"/>
  <c r="AO55" i="3"/>
  <c r="BJ55" i="3" s="1"/>
  <c r="C46" i="5" s="1"/>
  <c r="AX46" i="5" s="1"/>
  <c r="C52" i="6" s="1"/>
  <c r="AM55" i="3"/>
  <c r="AA55" i="3"/>
  <c r="E56" i="3"/>
  <c r="G56" i="3" s="1"/>
  <c r="J56" i="3" s="1"/>
  <c r="D56" i="3"/>
  <c r="F56" i="3" s="1"/>
  <c r="I56" i="3" s="1"/>
  <c r="BC51" i="6"/>
  <c r="AI51" i="6"/>
  <c r="AP51" i="6" s="1"/>
  <c r="BB51" i="6"/>
  <c r="U51" i="6"/>
  <c r="H56" i="3"/>
  <c r="K56" i="3" s="1"/>
  <c r="R51" i="6"/>
  <c r="AH51" i="6" s="1"/>
  <c r="T51" i="6"/>
  <c r="AU55" i="3"/>
  <c r="AG46" i="5" l="1"/>
  <c r="BA55" i="3"/>
  <c r="AT55" i="3"/>
  <c r="BC55" i="3"/>
  <c r="AV55" i="3"/>
  <c r="BL55" i="3" s="1"/>
  <c r="D52" i="6" s="1"/>
  <c r="E52" i="6" s="1"/>
  <c r="F52" i="6" s="1"/>
  <c r="G52" i="6" s="1"/>
  <c r="D53" i="2" s="1"/>
  <c r="Q51" i="6"/>
  <c r="AA51" i="6" s="1"/>
  <c r="AO51" i="6" s="1"/>
  <c r="L56" i="3"/>
  <c r="M56" i="3" s="1"/>
  <c r="U46" i="5"/>
  <c r="AF46" i="5" s="1"/>
  <c r="AM46" i="5" s="1"/>
  <c r="P46" i="5"/>
  <c r="W46" i="5"/>
  <c r="C52" i="2"/>
  <c r="J52" i="6" l="1"/>
  <c r="BC52" i="6" s="1"/>
  <c r="Y52" i="6"/>
  <c r="AN46" i="5"/>
  <c r="V52" i="6"/>
  <c r="W52" i="6"/>
  <c r="I52" i="6"/>
  <c r="T52" i="6" s="1"/>
  <c r="T46" i="5"/>
  <c r="Y46" i="5" s="1"/>
  <c r="AC56" i="3"/>
  <c r="AX56" i="3" s="1"/>
  <c r="AP47" i="5" s="1"/>
  <c r="AB56" i="3"/>
  <c r="AW56" i="3" s="1"/>
  <c r="AO47" i="5" s="1"/>
  <c r="P56" i="3"/>
  <c r="AA56" i="3" s="1"/>
  <c r="AE56" i="3"/>
  <c r="AZ56" i="3" s="1"/>
  <c r="AR47" i="5" s="1"/>
  <c r="O56" i="3"/>
  <c r="N56" i="3"/>
  <c r="Y56" i="3" s="1"/>
  <c r="BB52" i="6" l="1"/>
  <c r="AI52" i="6"/>
  <c r="AP52" i="6" s="1"/>
  <c r="U52" i="6"/>
  <c r="R52" i="6"/>
  <c r="AH52" i="6" s="1"/>
  <c r="Z56" i="3"/>
  <c r="BA56" i="3" s="1"/>
  <c r="X56" i="3"/>
  <c r="W56" i="3" s="1"/>
  <c r="S56" i="3"/>
  <c r="AN56" i="3"/>
  <c r="AO56" i="3"/>
  <c r="AV56" i="3" s="1"/>
  <c r="BL56" i="3" s="1"/>
  <c r="D53" i="6" s="1"/>
  <c r="BK56" i="3"/>
  <c r="AY47" i="5" s="1"/>
  <c r="C57" i="3"/>
  <c r="C53" i="2"/>
  <c r="V56" i="3"/>
  <c r="U56" i="3" s="1"/>
  <c r="R56" i="3"/>
  <c r="AJ56" i="3" s="1"/>
  <c r="AM56" i="3"/>
  <c r="AT56" i="3" s="1"/>
  <c r="Q52" i="6" l="1"/>
  <c r="AA52" i="6" s="1"/>
  <c r="AO52" i="6" s="1"/>
  <c r="D57" i="3"/>
  <c r="F57" i="3" s="1"/>
  <c r="E57" i="3"/>
  <c r="G57" i="3" s="1"/>
  <c r="BC56" i="3"/>
  <c r="E53" i="6"/>
  <c r="F53" i="6" s="1"/>
  <c r="G53" i="6" s="1"/>
  <c r="D54" i="2" s="1"/>
  <c r="H57" i="3"/>
  <c r="K57" i="3" s="1"/>
  <c r="BJ56" i="3"/>
  <c r="C47" i="5" s="1"/>
  <c r="AX47" i="5" s="1"/>
  <c r="C53" i="6" s="1"/>
  <c r="AG47" i="5"/>
  <c r="F47" i="5"/>
  <c r="L47" i="5" s="1"/>
  <c r="AU56" i="3"/>
  <c r="J57" i="3" l="1"/>
  <c r="U47" i="5"/>
  <c r="AF47" i="5" s="1"/>
  <c r="AM47" i="5" s="1"/>
  <c r="P47" i="5"/>
  <c r="W47" i="5"/>
  <c r="I53" i="6" s="1"/>
  <c r="I57" i="3"/>
  <c r="AN47" i="5"/>
  <c r="W53" i="6"/>
  <c r="J53" i="6"/>
  <c r="BC53" i="6" s="1"/>
  <c r="V53" i="6"/>
  <c r="Y53" i="6"/>
  <c r="T53" i="6" l="1"/>
  <c r="BB53" i="6"/>
  <c r="C54" i="2" s="1"/>
  <c r="T47" i="5"/>
  <c r="Y47" i="5" s="1"/>
  <c r="R53" i="6" s="1"/>
  <c r="AH53" i="6" s="1"/>
  <c r="U53" i="6"/>
  <c r="AI53" i="6"/>
  <c r="AP53" i="6" s="1"/>
  <c r="L57" i="3"/>
  <c r="M57" i="3" s="1"/>
  <c r="Q53" i="6" l="1"/>
  <c r="AA53" i="6" s="1"/>
  <c r="AO53" i="6" s="1"/>
  <c r="AC57" i="3"/>
  <c r="AE57" i="3"/>
  <c r="P57" i="3"/>
  <c r="AB57" i="3"/>
  <c r="O57" i="3"/>
  <c r="N57" i="3"/>
  <c r="Y57" i="3" s="1"/>
  <c r="AE3" i="25"/>
  <c r="Z57" i="3" l="1"/>
  <c r="S57" i="3"/>
  <c r="X57" i="3"/>
  <c r="W57" i="3" s="1"/>
  <c r="AN57" i="3"/>
  <c r="AO57" i="3"/>
  <c r="BK57" i="3"/>
  <c r="AY48" i="5" s="1"/>
  <c r="C58" i="3"/>
  <c r="AA57" i="3"/>
  <c r="AZ57" i="3"/>
  <c r="AR48" i="5" s="1"/>
  <c r="AX57" i="3"/>
  <c r="AP48" i="5" s="1"/>
  <c r="V57" i="3"/>
  <c r="U57" i="3" s="1"/>
  <c r="R57" i="3"/>
  <c r="AM57" i="3"/>
  <c r="AT57" i="3" s="1"/>
  <c r="AW57" i="3"/>
  <c r="AO48" i="5" s="1"/>
  <c r="R3" i="24"/>
  <c r="AP3" i="25"/>
  <c r="X4" i="25"/>
  <c r="Y3" i="24"/>
  <c r="D2" i="23" l="1"/>
  <c r="AQ3" i="25"/>
  <c r="AV57" i="3"/>
  <c r="BL57" i="3" s="1"/>
  <c r="D54" i="6" s="1"/>
  <c r="E54" i="6" s="1"/>
  <c r="F54" i="6" s="1"/>
  <c r="E58" i="3"/>
  <c r="G58" i="3" s="1"/>
  <c r="D58" i="3"/>
  <c r="F58" i="3" s="1"/>
  <c r="AJ57" i="3"/>
  <c r="H58" i="3"/>
  <c r="K58" i="3" s="1"/>
  <c r="F48" i="5"/>
  <c r="L48" i="5" s="1"/>
  <c r="AU57" i="3"/>
  <c r="BC57" i="3"/>
  <c r="BJ57" i="3"/>
  <c r="C48" i="5" s="1"/>
  <c r="AX48" i="5" s="1"/>
  <c r="C54" i="6" s="1"/>
  <c r="AG48" i="5"/>
  <c r="BA57" i="3"/>
  <c r="AC3" i="24"/>
  <c r="AE3" i="24"/>
  <c r="AD3" i="24"/>
  <c r="Q36" i="3" s="1"/>
  <c r="BD36" i="3" s="1"/>
  <c r="AD36" i="3"/>
  <c r="AE4" i="25"/>
  <c r="R4" i="24" s="1"/>
  <c r="AL4" i="25"/>
  <c r="X5" i="25" s="1"/>
  <c r="AK36" i="3"/>
  <c r="AC27" i="5" s="1"/>
  <c r="AR36" i="3"/>
  <c r="AN48" i="5" l="1"/>
  <c r="J58" i="3"/>
  <c r="G54" i="6"/>
  <c r="I58" i="3"/>
  <c r="AJ27" i="5"/>
  <c r="AL33" i="6" s="1"/>
  <c r="AL5" i="25"/>
  <c r="X6" i="25" s="1"/>
  <c r="AK37" i="3"/>
  <c r="AC28" i="5" s="1"/>
  <c r="AI36" i="3"/>
  <c r="BB36" i="3"/>
  <c r="AY36" i="3"/>
  <c r="Y4" i="24"/>
  <c r="AC4" i="24" s="1"/>
  <c r="AP4" i="25"/>
  <c r="D3" i="23" s="1"/>
  <c r="AE5" i="25"/>
  <c r="M34" i="6"/>
  <c r="L58" i="3" l="1"/>
  <c r="M58" i="3" s="1"/>
  <c r="AE58" i="3" s="1"/>
  <c r="P48" i="5"/>
  <c r="U48" i="5"/>
  <c r="AF48" i="5" s="1"/>
  <c r="AM48" i="5" s="1"/>
  <c r="W48" i="5"/>
  <c r="I54" i="6" s="1"/>
  <c r="J54" i="6"/>
  <c r="Y54" i="6"/>
  <c r="W54" i="6"/>
  <c r="V54" i="6"/>
  <c r="D55" i="2"/>
  <c r="AQ27" i="5"/>
  <c r="AE34" i="6"/>
  <c r="X33" i="6"/>
  <c r="AV33" i="6" s="1"/>
  <c r="AE4" i="24"/>
  <c r="AD4" i="24"/>
  <c r="Q37" i="3" s="1"/>
  <c r="BD37" i="3" s="1"/>
  <c r="AL6" i="25"/>
  <c r="X7" i="25" s="1"/>
  <c r="AD37" i="3"/>
  <c r="BB37" i="3" s="1"/>
  <c r="AR37" i="3"/>
  <c r="AJ28" i="5" s="1"/>
  <c r="Y5" i="24"/>
  <c r="AE6" i="25"/>
  <c r="R6" i="24" s="1"/>
  <c r="R5" i="24"/>
  <c r="AP5" i="25"/>
  <c r="D4" i="23" s="1"/>
  <c r="M33" i="6"/>
  <c r="AE33" i="6" s="1"/>
  <c r="AS33" i="6" s="1"/>
  <c r="M35" i="6"/>
  <c r="BI36" i="3"/>
  <c r="E27" i="5" s="1"/>
  <c r="J27" i="5" s="1"/>
  <c r="BH36" i="3"/>
  <c r="D27" i="5" s="1"/>
  <c r="I27" i="5" s="1"/>
  <c r="BE36" i="3"/>
  <c r="BF36" i="3"/>
  <c r="BO36" i="3" s="1"/>
  <c r="T54" i="6" l="1"/>
  <c r="O58" i="3"/>
  <c r="Z58" i="3" s="1"/>
  <c r="AB58" i="3"/>
  <c r="AW58" i="3" s="1"/>
  <c r="AO49" i="5" s="1"/>
  <c r="P58" i="3"/>
  <c r="AA58" i="3" s="1"/>
  <c r="N58" i="3"/>
  <c r="V58" i="3" s="1"/>
  <c r="U58" i="3" s="1"/>
  <c r="AC58" i="3"/>
  <c r="AX58" i="3" s="1"/>
  <c r="AP49" i="5" s="1"/>
  <c r="T48" i="5"/>
  <c r="Y48" i="5" s="1"/>
  <c r="R54" i="6" s="1"/>
  <c r="Q54" i="6" s="1"/>
  <c r="AO58" i="3"/>
  <c r="U54" i="6"/>
  <c r="BC54" i="6"/>
  <c r="AI54" i="6"/>
  <c r="AP54" i="6" s="1"/>
  <c r="BB54" i="6"/>
  <c r="C55" i="2" s="1"/>
  <c r="AZ58" i="3"/>
  <c r="AR49" i="5" s="1"/>
  <c r="AC5" i="24"/>
  <c r="AL34" i="6"/>
  <c r="AS34" i="6" s="1"/>
  <c r="X34" i="6"/>
  <c r="AD5" i="24"/>
  <c r="Q38" i="3" s="1"/>
  <c r="BD38" i="3" s="1"/>
  <c r="AE5" i="24"/>
  <c r="Y6" i="24"/>
  <c r="AR39" i="3" s="1"/>
  <c r="AY37" i="3"/>
  <c r="AQ28" i="5" s="1"/>
  <c r="AL7" i="25"/>
  <c r="AK38" i="3"/>
  <c r="AC29" i="5" s="1"/>
  <c r="AE35" i="6" s="1"/>
  <c r="AD38" i="3"/>
  <c r="BB38" i="3" s="1"/>
  <c r="AK39" i="3"/>
  <c r="AC30" i="5" s="1"/>
  <c r="AI37" i="3"/>
  <c r="BI37" i="3" s="1"/>
  <c r="BF37" i="3"/>
  <c r="BM37" i="3" s="1"/>
  <c r="AP6" i="25"/>
  <c r="D5" i="23" s="1"/>
  <c r="AR38" i="3"/>
  <c r="AE7" i="25"/>
  <c r="BG36" i="3"/>
  <c r="G27" i="5"/>
  <c r="H27" i="5" s="1"/>
  <c r="AN58" i="3" l="1"/>
  <c r="AU58" i="3" s="1"/>
  <c r="S58" i="3"/>
  <c r="X58" i="3"/>
  <c r="W58" i="3" s="1"/>
  <c r="BC58" i="3" s="1"/>
  <c r="BK58" i="3"/>
  <c r="AY49" i="5" s="1"/>
  <c r="C59" i="3"/>
  <c r="E59" i="3" s="1"/>
  <c r="G59" i="3" s="1"/>
  <c r="AM58" i="3"/>
  <c r="Y58" i="3"/>
  <c r="R58" i="3"/>
  <c r="AJ58" i="3" s="1"/>
  <c r="AA54" i="6"/>
  <c r="BJ58" i="3"/>
  <c r="C49" i="5" s="1"/>
  <c r="AX49" i="5" s="1"/>
  <c r="C55" i="6" s="1"/>
  <c r="AG49" i="5"/>
  <c r="AV58" i="3"/>
  <c r="BL58" i="3" s="1"/>
  <c r="D55" i="6" s="1"/>
  <c r="AH54" i="6"/>
  <c r="BN37" i="3"/>
  <c r="AC6" i="24"/>
  <c r="AI38" i="3"/>
  <c r="BH38" i="3" s="1"/>
  <c r="AD6" i="24"/>
  <c r="Q39" i="3" s="1"/>
  <c r="BD39" i="3" s="1"/>
  <c r="AE6" i="24"/>
  <c r="AD39" i="3"/>
  <c r="BB39" i="3" s="1"/>
  <c r="AV34" i="6"/>
  <c r="AJ29" i="5"/>
  <c r="AY38" i="3"/>
  <c r="BE37" i="3"/>
  <c r="BG37" i="3"/>
  <c r="BH37" i="3"/>
  <c r="D28" i="5" s="1"/>
  <c r="I28" i="5" s="1"/>
  <c r="R7" i="24"/>
  <c r="AP7" i="25"/>
  <c r="D6" i="23" s="1"/>
  <c r="AJ30" i="5"/>
  <c r="AL36" i="6" s="1"/>
  <c r="M36" i="6"/>
  <c r="AE36" i="6" s="1"/>
  <c r="E28" i="5"/>
  <c r="J28" i="5" s="1"/>
  <c r="BE38" i="3"/>
  <c r="BF38" i="3"/>
  <c r="BM38" i="3" s="1"/>
  <c r="X8" i="25"/>
  <c r="Y7" i="24"/>
  <c r="N27" i="5"/>
  <c r="K27" i="5"/>
  <c r="F49" i="5" l="1"/>
  <c r="L49" i="5" s="1"/>
  <c r="H59" i="3"/>
  <c r="K59" i="3" s="1"/>
  <c r="D59" i="3"/>
  <c r="F59" i="3" s="1"/>
  <c r="I59" i="3" s="1"/>
  <c r="AT58" i="3"/>
  <c r="BA58" i="3"/>
  <c r="E55" i="6"/>
  <c r="F55" i="6" s="1"/>
  <c r="AN49" i="5"/>
  <c r="J59" i="3"/>
  <c r="AO54" i="6"/>
  <c r="BI38" i="3"/>
  <c r="BO37" i="3"/>
  <c r="K3" i="23"/>
  <c r="BN38" i="3"/>
  <c r="AI39" i="3"/>
  <c r="BH39" i="3" s="1"/>
  <c r="AC7" i="24"/>
  <c r="AS36" i="6"/>
  <c r="AL35" i="6"/>
  <c r="AS35" i="6" s="1"/>
  <c r="X35" i="6"/>
  <c r="X36" i="6" s="1"/>
  <c r="AV36" i="6" s="1"/>
  <c r="AD7" i="24"/>
  <c r="Q40" i="3" s="1"/>
  <c r="BD40" i="3" s="1"/>
  <c r="AE7" i="24"/>
  <c r="AD40" i="3"/>
  <c r="BB40" i="3" s="1"/>
  <c r="BE39" i="3"/>
  <c r="AL8" i="25"/>
  <c r="AQ29" i="5"/>
  <c r="AK40" i="3"/>
  <c r="AC31" i="5" s="1"/>
  <c r="AY39" i="3"/>
  <c r="AQ30" i="5" s="1"/>
  <c r="AR40" i="3"/>
  <c r="AA27" i="5"/>
  <c r="V27" i="5"/>
  <c r="H33" i="6" s="1"/>
  <c r="S27" i="5"/>
  <c r="R27" i="5"/>
  <c r="BF39" i="3"/>
  <c r="BM39" i="3" s="1"/>
  <c r="G28" i="5"/>
  <c r="H28" i="5" s="1"/>
  <c r="AE8" i="25"/>
  <c r="BG38" i="3"/>
  <c r="O27" i="5"/>
  <c r="L59" i="3" l="1"/>
  <c r="M59" i="3" s="1"/>
  <c r="P59" i="3" s="1"/>
  <c r="P49" i="5"/>
  <c r="U49" i="5"/>
  <c r="AF49" i="5" s="1"/>
  <c r="AM49" i="5" s="1"/>
  <c r="W49" i="5"/>
  <c r="G55" i="6"/>
  <c r="BO38" i="3"/>
  <c r="K4" i="23"/>
  <c r="BN39" i="3"/>
  <c r="K5" i="23" s="1"/>
  <c r="BI39" i="3"/>
  <c r="AY40" i="3"/>
  <c r="X27" i="5"/>
  <c r="AE27" i="5"/>
  <c r="S33" i="6" s="1"/>
  <c r="AV35" i="6"/>
  <c r="AI40" i="3"/>
  <c r="AS27" i="5"/>
  <c r="AB27" i="5"/>
  <c r="BA27" i="5" s="1"/>
  <c r="R8" i="24"/>
  <c r="AP8" i="25"/>
  <c r="D7" i="23" s="1"/>
  <c r="AJ31" i="5"/>
  <c r="AL37" i="6" s="1"/>
  <c r="M37" i="6"/>
  <c r="AE37" i="6" s="1"/>
  <c r="AT27" i="5"/>
  <c r="D29" i="5"/>
  <c r="I29" i="5" s="1"/>
  <c r="N28" i="5"/>
  <c r="E29" i="5"/>
  <c r="J29" i="5" s="1"/>
  <c r="BG39" i="3"/>
  <c r="X9" i="25"/>
  <c r="Y8" i="24"/>
  <c r="K28" i="5"/>
  <c r="O59" i="3" l="1"/>
  <c r="Z59" i="3" s="1"/>
  <c r="N59" i="3"/>
  <c r="V59" i="3" s="1"/>
  <c r="U59" i="3" s="1"/>
  <c r="I55" i="6"/>
  <c r="T55" i="6" s="1"/>
  <c r="AB59" i="3"/>
  <c r="AW59" i="3" s="1"/>
  <c r="AO50" i="5" s="1"/>
  <c r="AC59" i="3"/>
  <c r="AX59" i="3" s="1"/>
  <c r="AP50" i="5" s="1"/>
  <c r="AE59" i="3"/>
  <c r="AZ59" i="3" s="1"/>
  <c r="AR50" i="5" s="1"/>
  <c r="AA59" i="3"/>
  <c r="J55" i="6"/>
  <c r="W55" i="6"/>
  <c r="V55" i="6"/>
  <c r="Y55" i="6"/>
  <c r="D56" i="2"/>
  <c r="T49" i="5"/>
  <c r="Y49" i="5" s="1"/>
  <c r="AO59" i="3"/>
  <c r="BK59" i="3"/>
  <c r="AY50" i="5" s="1"/>
  <c r="C60" i="3"/>
  <c r="BO39" i="3"/>
  <c r="AS37" i="6"/>
  <c r="D30" i="5"/>
  <c r="I30" i="5" s="1"/>
  <c r="AC8" i="24"/>
  <c r="X37" i="6"/>
  <c r="S28" i="5"/>
  <c r="AD8" i="24"/>
  <c r="Q41" i="3" s="1"/>
  <c r="BD41" i="3" s="1"/>
  <c r="AE8" i="24"/>
  <c r="AD41" i="3"/>
  <c r="BB41" i="3" s="1"/>
  <c r="AV27" i="5"/>
  <c r="P33" i="6"/>
  <c r="AG33" i="6" s="1"/>
  <c r="AL9" i="25"/>
  <c r="AK41" i="3"/>
  <c r="AC32" i="5" s="1"/>
  <c r="AU33" i="6"/>
  <c r="AQ31" i="5"/>
  <c r="AL27" i="5"/>
  <c r="AR41" i="3"/>
  <c r="AZ27" i="5"/>
  <c r="AU27" i="5"/>
  <c r="AA28" i="5"/>
  <c r="V28" i="5"/>
  <c r="H34" i="6" s="1"/>
  <c r="BI40" i="3"/>
  <c r="BH40" i="3"/>
  <c r="AE9" i="25"/>
  <c r="O28" i="5"/>
  <c r="L33" i="6"/>
  <c r="AD33" i="6" s="1"/>
  <c r="AR33" i="6" s="1"/>
  <c r="BE40" i="3"/>
  <c r="BF40" i="3"/>
  <c r="BM40" i="3" s="1"/>
  <c r="G29" i="5"/>
  <c r="H29" i="5" s="1"/>
  <c r="R59" i="3" l="1"/>
  <c r="AJ59" i="3" s="1"/>
  <c r="S59" i="3"/>
  <c r="AM59" i="3"/>
  <c r="AV59" i="3"/>
  <c r="BL59" i="3" s="1"/>
  <c r="D56" i="6" s="1"/>
  <c r="E56" i="6" s="1"/>
  <c r="F56" i="6" s="1"/>
  <c r="X59" i="3"/>
  <c r="W59" i="3" s="1"/>
  <c r="BC59" i="3" s="1"/>
  <c r="AN59" i="3"/>
  <c r="AU59" i="3" s="1"/>
  <c r="Y59" i="3"/>
  <c r="BA59" i="3" s="1"/>
  <c r="R55" i="6"/>
  <c r="Q55" i="6" s="1"/>
  <c r="E60" i="3"/>
  <c r="G60" i="3" s="1"/>
  <c r="D60" i="3"/>
  <c r="F60" i="3" s="1"/>
  <c r="U55" i="6"/>
  <c r="BC55" i="6"/>
  <c r="AI55" i="6"/>
  <c r="AP55" i="6" s="1"/>
  <c r="BB55" i="6"/>
  <c r="C56" i="2" s="1"/>
  <c r="H60" i="3"/>
  <c r="K60" i="3" s="1"/>
  <c r="BJ59" i="3"/>
  <c r="C50" i="5" s="1"/>
  <c r="AX50" i="5" s="1"/>
  <c r="C56" i="6" s="1"/>
  <c r="AG50" i="5"/>
  <c r="AW27" i="5"/>
  <c r="BD27" i="5"/>
  <c r="BN40" i="3"/>
  <c r="N29" i="5"/>
  <c r="AA29" i="5" s="1"/>
  <c r="O33" i="6"/>
  <c r="R28" i="5"/>
  <c r="AE28" i="5"/>
  <c r="S34" i="6" s="1"/>
  <c r="AY41" i="3"/>
  <c r="AV37" i="6"/>
  <c r="AI41" i="3"/>
  <c r="K33" i="6"/>
  <c r="AC33" i="6" s="1"/>
  <c r="AQ33" i="6" s="1"/>
  <c r="R9" i="24"/>
  <c r="AP9" i="25"/>
  <c r="D8" i="23" s="1"/>
  <c r="AJ32" i="5"/>
  <c r="AT28" i="5"/>
  <c r="AB28" i="5"/>
  <c r="BA28" i="5" s="1"/>
  <c r="E30" i="5"/>
  <c r="J30" i="5" s="1"/>
  <c r="D31" i="5"/>
  <c r="I31" i="5" s="1"/>
  <c r="BG40" i="3"/>
  <c r="X10" i="25"/>
  <c r="Y9" i="24"/>
  <c r="N30" i="5"/>
  <c r="K29" i="5"/>
  <c r="F50" i="5" l="1"/>
  <c r="L50" i="5" s="1"/>
  <c r="AT59" i="3"/>
  <c r="AH55" i="6"/>
  <c r="AN50" i="5"/>
  <c r="J60" i="3"/>
  <c r="AA55" i="6"/>
  <c r="I60" i="3"/>
  <c r="G56" i="6"/>
  <c r="BO40" i="3"/>
  <c r="K6" i="23"/>
  <c r="AA30" i="5"/>
  <c r="AC9" i="24"/>
  <c r="AL38" i="6"/>
  <c r="X38" i="6"/>
  <c r="AW33" i="6"/>
  <c r="Z33" i="6"/>
  <c r="AN33" i="6" s="1"/>
  <c r="X28" i="5"/>
  <c r="P34" i="6" s="1"/>
  <c r="AD9" i="24"/>
  <c r="Q42" i="3" s="1"/>
  <c r="BD42" i="3" s="1"/>
  <c r="AE9" i="24"/>
  <c r="AK42" i="3"/>
  <c r="AC33" i="5" s="1"/>
  <c r="AD42" i="3"/>
  <c r="AL10" i="25"/>
  <c r="AU34" i="6"/>
  <c r="AX33" i="6"/>
  <c r="AQ32" i="5"/>
  <c r="AL28" i="5"/>
  <c r="AR42" i="3"/>
  <c r="V29" i="5"/>
  <c r="H35" i="6" s="1"/>
  <c r="M38" i="6"/>
  <c r="AE38" i="6" s="1"/>
  <c r="BI41" i="3"/>
  <c r="BH41" i="3"/>
  <c r="BE41" i="3"/>
  <c r="BF41" i="3"/>
  <c r="BM41" i="3" s="1"/>
  <c r="E31" i="5"/>
  <c r="J31" i="5" s="1"/>
  <c r="G30" i="5"/>
  <c r="H30" i="5" s="1"/>
  <c r="AE10" i="25"/>
  <c r="O29" i="5"/>
  <c r="AO55" i="6" l="1"/>
  <c r="L60" i="3"/>
  <c r="M60" i="3" s="1"/>
  <c r="AE60" i="3" s="1"/>
  <c r="V56" i="6"/>
  <c r="W56" i="6"/>
  <c r="J56" i="6"/>
  <c r="U56" i="6" s="1"/>
  <c r="Y56" i="6"/>
  <c r="D57" i="2"/>
  <c r="P50" i="5"/>
  <c r="U50" i="5"/>
  <c r="W50" i="5"/>
  <c r="I56" i="6" s="1"/>
  <c r="AS38" i="6"/>
  <c r="BN41" i="3"/>
  <c r="AZ33" i="6"/>
  <c r="O34" i="6"/>
  <c r="Z34" i="6" s="1"/>
  <c r="AG34" i="6"/>
  <c r="AZ28" i="5"/>
  <c r="AY33" i="6"/>
  <c r="AV38" i="6"/>
  <c r="AJ33" i="5"/>
  <c r="AL39" i="6" s="1"/>
  <c r="AY42" i="3"/>
  <c r="AI42" i="3"/>
  <c r="BE33" i="6"/>
  <c r="BD33" i="6"/>
  <c r="BB42" i="3"/>
  <c r="R10" i="24"/>
  <c r="AP10" i="25"/>
  <c r="D9" i="23" s="1"/>
  <c r="L34" i="6"/>
  <c r="AD34" i="6" s="1"/>
  <c r="AR34" i="6" s="1"/>
  <c r="AT29" i="5"/>
  <c r="AB29" i="5"/>
  <c r="BA29" i="5" s="1"/>
  <c r="D32" i="5"/>
  <c r="I32" i="5" s="1"/>
  <c r="K30" i="5"/>
  <c r="BG41" i="3"/>
  <c r="N31" i="5"/>
  <c r="X11" i="25"/>
  <c r="AL11" i="25" s="1"/>
  <c r="Y10" i="24"/>
  <c r="O60" i="3" l="1"/>
  <c r="N60" i="3"/>
  <c r="R60" i="3" s="1"/>
  <c r="P60" i="3"/>
  <c r="C61" i="3" s="1"/>
  <c r="AC60" i="3"/>
  <c r="AX60" i="3" s="1"/>
  <c r="AP51" i="5" s="1"/>
  <c r="AB60" i="3"/>
  <c r="AW60" i="3" s="1"/>
  <c r="AO51" i="5" s="1"/>
  <c r="T50" i="5"/>
  <c r="Y50" i="5" s="1"/>
  <c r="AF50" i="5"/>
  <c r="BB56" i="6"/>
  <c r="C57" i="2" s="1"/>
  <c r="BC56" i="6"/>
  <c r="AI56" i="6"/>
  <c r="AP56" i="6" s="1"/>
  <c r="S60" i="3"/>
  <c r="X60" i="3"/>
  <c r="W60" i="3" s="1"/>
  <c r="AN60" i="3"/>
  <c r="Z60" i="3"/>
  <c r="AZ60" i="3"/>
  <c r="AR51" i="5" s="1"/>
  <c r="BA33" i="6"/>
  <c r="BH33" i="6"/>
  <c r="E2" i="23" s="1"/>
  <c r="N18" i="23" s="1"/>
  <c r="BO41" i="3"/>
  <c r="K7" i="23"/>
  <c r="AW34" i="6"/>
  <c r="AC10" i="24"/>
  <c r="AN34" i="6"/>
  <c r="X39" i="6"/>
  <c r="AV39" i="6" s="1"/>
  <c r="AD10" i="24"/>
  <c r="Q43" i="3" s="1"/>
  <c r="AE10" i="24"/>
  <c r="AQ33" i="5"/>
  <c r="AD43" i="3"/>
  <c r="AK43" i="3"/>
  <c r="AC34" i="5" s="1"/>
  <c r="AR43" i="3"/>
  <c r="K34" i="6"/>
  <c r="AA31" i="5"/>
  <c r="V30" i="5"/>
  <c r="H36" i="6" s="1"/>
  <c r="L35" i="6"/>
  <c r="AD35" i="6" s="1"/>
  <c r="AR35" i="6" s="1"/>
  <c r="M39" i="6"/>
  <c r="AE39" i="6" s="1"/>
  <c r="AS39" i="6" s="1"/>
  <c r="BI42" i="3"/>
  <c r="BH42" i="3"/>
  <c r="BE42" i="3"/>
  <c r="BF42" i="3"/>
  <c r="BM42" i="3" s="1"/>
  <c r="AE11" i="25"/>
  <c r="O30" i="5"/>
  <c r="G31" i="5"/>
  <c r="H31" i="5" s="1"/>
  <c r="V60" i="3" l="1"/>
  <c r="U60" i="3" s="1"/>
  <c r="BC60" i="3" s="1"/>
  <c r="Y60" i="3"/>
  <c r="AA60" i="3"/>
  <c r="BK60" i="3"/>
  <c r="AY51" i="5" s="1"/>
  <c r="AM60" i="3"/>
  <c r="AO60" i="3"/>
  <c r="AG51" i="5" s="1"/>
  <c r="D61" i="3"/>
  <c r="F61" i="3" s="1"/>
  <c r="E61" i="3"/>
  <c r="G61" i="3" s="1"/>
  <c r="F51" i="5"/>
  <c r="L51" i="5" s="1"/>
  <c r="AU60" i="3"/>
  <c r="R56" i="6"/>
  <c r="AM50" i="5"/>
  <c r="T56" i="6"/>
  <c r="H61" i="3"/>
  <c r="AJ60" i="3"/>
  <c r="N14" i="23"/>
  <c r="N16" i="23"/>
  <c r="N5" i="23"/>
  <c r="N13" i="23"/>
  <c r="N3" i="23"/>
  <c r="N21" i="23"/>
  <c r="N9" i="23"/>
  <c r="N6" i="23"/>
  <c r="N15" i="23"/>
  <c r="N17" i="23"/>
  <c r="N20" i="23"/>
  <c r="N4" i="23"/>
  <c r="N8" i="23"/>
  <c r="N26" i="23"/>
  <c r="N10" i="23"/>
  <c r="N7" i="23"/>
  <c r="N22" i="23"/>
  <c r="N27" i="23"/>
  <c r="N11" i="23"/>
  <c r="N2" i="23"/>
  <c r="N19" i="23"/>
  <c r="N12" i="23"/>
  <c r="N24" i="23"/>
  <c r="N25" i="23"/>
  <c r="N23" i="23"/>
  <c r="BN42" i="3"/>
  <c r="AX34" i="6"/>
  <c r="AC34" i="6"/>
  <c r="AQ34" i="6" s="1"/>
  <c r="AI43" i="3"/>
  <c r="BI43" i="3" s="1"/>
  <c r="BD43" i="3"/>
  <c r="AJ34" i="5"/>
  <c r="AY43" i="3"/>
  <c r="BB43" i="3"/>
  <c r="R11" i="24"/>
  <c r="AP11" i="25"/>
  <c r="D10" i="23" s="1"/>
  <c r="AT30" i="5"/>
  <c r="AB30" i="5"/>
  <c r="BA30" i="5" s="1"/>
  <c r="D33" i="5"/>
  <c r="I33" i="5" s="1"/>
  <c r="E32" i="5"/>
  <c r="J32" i="5" s="1"/>
  <c r="N32" i="5"/>
  <c r="K31" i="5"/>
  <c r="X12" i="25"/>
  <c r="AL12" i="25" s="1"/>
  <c r="Y11" i="24"/>
  <c r="BG42" i="3"/>
  <c r="AT60" i="3" l="1"/>
  <c r="BA60" i="3"/>
  <c r="AV60" i="3"/>
  <c r="BL60" i="3" s="1"/>
  <c r="D57" i="6" s="1"/>
  <c r="E57" i="6" s="1"/>
  <c r="F57" i="6" s="1"/>
  <c r="BJ60" i="3"/>
  <c r="C51" i="5" s="1"/>
  <c r="AX51" i="5" s="1"/>
  <c r="C57" i="6" s="1"/>
  <c r="J61" i="3"/>
  <c r="J63" i="3" s="1"/>
  <c r="G63" i="3"/>
  <c r="I61" i="3"/>
  <c r="F63" i="3"/>
  <c r="AH56" i="6"/>
  <c r="Q56" i="6"/>
  <c r="H63" i="3"/>
  <c r="K61" i="3"/>
  <c r="K63" i="3" s="1"/>
  <c r="N28" i="23"/>
  <c r="BO42" i="3"/>
  <c r="K8" i="23"/>
  <c r="BE34" i="6"/>
  <c r="AC11" i="24"/>
  <c r="AL40" i="6"/>
  <c r="X40" i="6"/>
  <c r="AD11" i="24"/>
  <c r="Q44" i="3" s="1"/>
  <c r="AE11" i="24"/>
  <c r="AD44" i="3"/>
  <c r="AK44" i="3"/>
  <c r="AC35" i="5" s="1"/>
  <c r="AQ34" i="5"/>
  <c r="BH43" i="3"/>
  <c r="BD34" i="6"/>
  <c r="AY34" i="6"/>
  <c r="AR44" i="3"/>
  <c r="AA32" i="5"/>
  <c r="V31" i="5"/>
  <c r="H37" i="6" s="1"/>
  <c r="L36" i="6"/>
  <c r="AD36" i="6" s="1"/>
  <c r="AR36" i="6" s="1"/>
  <c r="M40" i="6"/>
  <c r="AE40" i="6" s="1"/>
  <c r="G32" i="5"/>
  <c r="H32" i="5" s="1"/>
  <c r="O31" i="5"/>
  <c r="BE43" i="3"/>
  <c r="BF43" i="3"/>
  <c r="BM43" i="3" s="1"/>
  <c r="AE12" i="25"/>
  <c r="AN51" i="5" l="1"/>
  <c r="AA56" i="6"/>
  <c r="AO56" i="6" s="1"/>
  <c r="I63" i="3"/>
  <c r="L61" i="3"/>
  <c r="U51" i="5"/>
  <c r="AF51" i="5" s="1"/>
  <c r="AM51" i="5" s="1"/>
  <c r="P51" i="5"/>
  <c r="W51" i="5"/>
  <c r="G57" i="6"/>
  <c r="BN43" i="3"/>
  <c r="AS40" i="6"/>
  <c r="AV40" i="6"/>
  <c r="AI44" i="3"/>
  <c r="BI44" i="3" s="1"/>
  <c r="BD44" i="3"/>
  <c r="AJ35" i="5"/>
  <c r="AL41" i="6" s="1"/>
  <c r="AY44" i="3"/>
  <c r="R12" i="24"/>
  <c r="AP12" i="25"/>
  <c r="D11" i="23" s="1"/>
  <c r="BB44" i="3"/>
  <c r="M41" i="6"/>
  <c r="AE41" i="6" s="1"/>
  <c r="AT31" i="5"/>
  <c r="AB31" i="5"/>
  <c r="BA31" i="5" s="1"/>
  <c r="D34" i="5"/>
  <c r="I34" i="5" s="1"/>
  <c r="E33" i="5"/>
  <c r="J33" i="5" s="1"/>
  <c r="K32" i="5"/>
  <c r="N33" i="5"/>
  <c r="BG43" i="3"/>
  <c r="X13" i="25"/>
  <c r="AL13" i="25" s="1"/>
  <c r="Y12" i="24"/>
  <c r="I57" i="6" l="1"/>
  <c r="T57" i="6" s="1"/>
  <c r="Y57" i="6"/>
  <c r="J57" i="6"/>
  <c r="U57" i="6" s="1"/>
  <c r="V57" i="6"/>
  <c r="W57" i="6"/>
  <c r="D58" i="2"/>
  <c r="M61" i="3"/>
  <c r="L63" i="3"/>
  <c r="T51" i="5"/>
  <c r="Y51" i="5" s="1"/>
  <c r="BO43" i="3"/>
  <c r="K9" i="23"/>
  <c r="AC12" i="24"/>
  <c r="AS41" i="6"/>
  <c r="X41" i="6"/>
  <c r="AV41" i="6" s="1"/>
  <c r="V32" i="5"/>
  <c r="H38" i="6" s="1"/>
  <c r="AD12" i="24"/>
  <c r="Q45" i="3" s="1"/>
  <c r="AE12" i="24"/>
  <c r="AD45" i="3"/>
  <c r="AK45" i="3"/>
  <c r="AC36" i="5" s="1"/>
  <c r="AQ35" i="5"/>
  <c r="BH44" i="3"/>
  <c r="AR45" i="3"/>
  <c r="AA33" i="5"/>
  <c r="BE44" i="3"/>
  <c r="BF44" i="3"/>
  <c r="BM44" i="3" s="1"/>
  <c r="AE13" i="25"/>
  <c r="G33" i="5"/>
  <c r="H33" i="5" s="1"/>
  <c r="O32" i="5"/>
  <c r="BC57" i="6" l="1"/>
  <c r="AI57" i="6"/>
  <c r="AP57" i="6" s="1"/>
  <c r="BB57" i="6"/>
  <c r="C58" i="2" s="1"/>
  <c r="P61" i="3"/>
  <c r="AA61" i="3" s="1"/>
  <c r="AA63" i="3" s="1"/>
  <c r="AB61" i="3"/>
  <c r="AC61" i="3"/>
  <c r="AE61" i="3"/>
  <c r="M63" i="3"/>
  <c r="N61" i="3"/>
  <c r="Y61" i="3" s="1"/>
  <c r="O61" i="3"/>
  <c r="R57" i="6"/>
  <c r="BN44" i="3"/>
  <c r="D35" i="5"/>
  <c r="I35" i="5" s="1"/>
  <c r="AI45" i="3"/>
  <c r="BI45" i="3" s="1"/>
  <c r="BD45" i="3"/>
  <c r="AJ36" i="5"/>
  <c r="AY45" i="3"/>
  <c r="R13" i="24"/>
  <c r="AP13" i="25"/>
  <c r="D12" i="23" s="1"/>
  <c r="BB45" i="3"/>
  <c r="L37" i="6"/>
  <c r="AD37" i="6" s="1"/>
  <c r="AR37" i="6" s="1"/>
  <c r="L38" i="6"/>
  <c r="N34" i="5"/>
  <c r="M42" i="6"/>
  <c r="AE42" i="6" s="1"/>
  <c r="AT32" i="5"/>
  <c r="AB32" i="5"/>
  <c r="BA32" i="5" s="1"/>
  <c r="E34" i="5"/>
  <c r="J34" i="5" s="1"/>
  <c r="X14" i="25"/>
  <c r="AL14" i="25" s="1"/>
  <c r="Y13" i="24"/>
  <c r="K33" i="5"/>
  <c r="BG44" i="3"/>
  <c r="AH57" i="6" l="1"/>
  <c r="Y63" i="3"/>
  <c r="AX61" i="3"/>
  <c r="AP52" i="5" s="1"/>
  <c r="AC63" i="3"/>
  <c r="S61" i="3"/>
  <c r="S63" i="3" s="1"/>
  <c r="X61" i="3"/>
  <c r="X63" i="3" s="1"/>
  <c r="AN61" i="3"/>
  <c r="O63" i="3"/>
  <c r="Z61" i="3"/>
  <c r="Z63" i="3" s="1"/>
  <c r="AB63" i="3"/>
  <c r="AW61" i="3"/>
  <c r="AO52" i="5" s="1"/>
  <c r="Q57" i="6"/>
  <c r="V61" i="3"/>
  <c r="V63" i="3" s="1"/>
  <c r="R61" i="3"/>
  <c r="N63" i="3"/>
  <c r="AM61" i="3"/>
  <c r="AT61" i="3" s="1"/>
  <c r="AE63" i="3"/>
  <c r="AZ61" i="3"/>
  <c r="AR52" i="5" s="1"/>
  <c r="BK61" i="3"/>
  <c r="AY52" i="5" s="1"/>
  <c r="P63" i="3"/>
  <c r="AO61" i="3"/>
  <c r="BO44" i="3"/>
  <c r="K10" i="23"/>
  <c r="AC13" i="24"/>
  <c r="AD38" i="6"/>
  <c r="AR38" i="6" s="1"/>
  <c r="AL42" i="6"/>
  <c r="AS42" i="6" s="1"/>
  <c r="X42" i="6"/>
  <c r="AV42" i="6" s="1"/>
  <c r="AD13" i="24"/>
  <c r="Q46" i="3" s="1"/>
  <c r="AE13" i="24"/>
  <c r="AD46" i="3"/>
  <c r="BH45" i="3"/>
  <c r="D36" i="5" s="1"/>
  <c r="I36" i="5" s="1"/>
  <c r="AK46" i="3"/>
  <c r="AC37" i="5" s="1"/>
  <c r="AQ36" i="5"/>
  <c r="AR46" i="3"/>
  <c r="AA34" i="5"/>
  <c r="V33" i="5"/>
  <c r="H39" i="6" s="1"/>
  <c r="G34" i="5"/>
  <c r="H34" i="5" s="1"/>
  <c r="AE14" i="25"/>
  <c r="BE45" i="3"/>
  <c r="BF45" i="3"/>
  <c r="BM45" i="3" s="1"/>
  <c r="O33" i="5"/>
  <c r="N35" i="5"/>
  <c r="U61" i="3" l="1"/>
  <c r="W61" i="3"/>
  <c r="W63" i="3" s="1"/>
  <c r="BJ61" i="3"/>
  <c r="C52" i="5" s="1"/>
  <c r="AX52" i="5" s="1"/>
  <c r="C58" i="6" s="1"/>
  <c r="AG52" i="5"/>
  <c r="AV61" i="3"/>
  <c r="BL61" i="3" s="1"/>
  <c r="D58" i="6" s="1"/>
  <c r="AJ61" i="3"/>
  <c r="R63" i="3"/>
  <c r="AA57" i="6"/>
  <c r="AO57" i="6" s="1"/>
  <c r="U63" i="3"/>
  <c r="F52" i="5"/>
  <c r="L52" i="5" s="1"/>
  <c r="AU61" i="3"/>
  <c r="BA61" i="3"/>
  <c r="BN45" i="3"/>
  <c r="AI46" i="3"/>
  <c r="BH46" i="3" s="1"/>
  <c r="D37" i="5" s="1"/>
  <c r="I37" i="5" s="1"/>
  <c r="BD46" i="3"/>
  <c r="AJ37" i="5"/>
  <c r="AL43" i="6" s="1"/>
  <c r="AY46" i="3"/>
  <c r="BB46" i="3"/>
  <c r="R14" i="24"/>
  <c r="AP14" i="25"/>
  <c r="D13" i="23" s="1"/>
  <c r="AA35" i="5"/>
  <c r="M43" i="6"/>
  <c r="AE43" i="6" s="1"/>
  <c r="AT33" i="5"/>
  <c r="AB33" i="5"/>
  <c r="BA33" i="5" s="1"/>
  <c r="E35" i="5"/>
  <c r="J35" i="5" s="1"/>
  <c r="BG45" i="3"/>
  <c r="X15" i="25"/>
  <c r="AL15" i="25" s="1"/>
  <c r="Y14" i="24"/>
  <c r="K34" i="5"/>
  <c r="BC61" i="3" l="1"/>
  <c r="E30" i="3" s="1"/>
  <c r="E26" i="3" s="1"/>
  <c r="F54" i="5"/>
  <c r="E58" i="6"/>
  <c r="F58" i="6" s="1"/>
  <c r="BA63" i="3"/>
  <c r="D30" i="3"/>
  <c r="D26" i="3" s="1"/>
  <c r="AN52" i="5"/>
  <c r="BO45" i="3"/>
  <c r="K11" i="23"/>
  <c r="AC14" i="24"/>
  <c r="AS43" i="6"/>
  <c r="X43" i="6"/>
  <c r="AV43" i="6" s="1"/>
  <c r="AD14" i="24"/>
  <c r="Q47" i="3" s="1"/>
  <c r="AE14" i="24"/>
  <c r="AD47" i="3"/>
  <c r="AK47" i="3"/>
  <c r="AC38" i="5" s="1"/>
  <c r="BI46" i="3"/>
  <c r="AQ37" i="5"/>
  <c r="AR47" i="3"/>
  <c r="V34" i="5"/>
  <c r="H40" i="6" s="1"/>
  <c r="N36" i="5"/>
  <c r="L39" i="6"/>
  <c r="AD39" i="6" s="1"/>
  <c r="AR39" i="6" s="1"/>
  <c r="G35" i="5"/>
  <c r="H35" i="5" s="1"/>
  <c r="BE46" i="3"/>
  <c r="BF46" i="3"/>
  <c r="BM46" i="3" s="1"/>
  <c r="O34" i="5"/>
  <c r="AE15" i="25"/>
  <c r="BC63" i="3" l="1"/>
  <c r="C30" i="3"/>
  <c r="C26" i="3" s="1"/>
  <c r="G58" i="6"/>
  <c r="F60" i="6"/>
  <c r="U52" i="5"/>
  <c r="AF52" i="5" s="1"/>
  <c r="P52" i="5"/>
  <c r="P54" i="5" s="1"/>
  <c r="W52" i="5"/>
  <c r="L54" i="5"/>
  <c r="BN46" i="3"/>
  <c r="AI47" i="3"/>
  <c r="BI47" i="3" s="1"/>
  <c r="BD47" i="3"/>
  <c r="AJ38" i="5"/>
  <c r="AL44" i="6" s="1"/>
  <c r="AY47" i="3"/>
  <c r="R15" i="24"/>
  <c r="AP15" i="25"/>
  <c r="D14" i="23" s="1"/>
  <c r="BB47" i="3"/>
  <c r="AA36" i="5"/>
  <c r="M44" i="6"/>
  <c r="AE44" i="6" s="1"/>
  <c r="AT34" i="5"/>
  <c r="AB34" i="5"/>
  <c r="BA34" i="5" s="1"/>
  <c r="E36" i="5"/>
  <c r="J36" i="5" s="1"/>
  <c r="X16" i="25"/>
  <c r="AL16" i="25" s="1"/>
  <c r="Y15" i="24"/>
  <c r="BG46" i="3"/>
  <c r="K35" i="5"/>
  <c r="F27" i="20" l="1"/>
  <c r="T52" i="5"/>
  <c r="Y52" i="5" s="1"/>
  <c r="Y58" i="6"/>
  <c r="Y60" i="6" s="1"/>
  <c r="J58" i="6"/>
  <c r="U58" i="6" s="1"/>
  <c r="U60" i="6" s="1"/>
  <c r="V58" i="6"/>
  <c r="V60" i="6" s="1"/>
  <c r="I58" i="6"/>
  <c r="T58" i="6" s="1"/>
  <c r="T60" i="6" s="1"/>
  <c r="W58" i="6"/>
  <c r="W60" i="6" s="1"/>
  <c r="G60" i="6"/>
  <c r="D59" i="2"/>
  <c r="AM52" i="5"/>
  <c r="BO46" i="3"/>
  <c r="K12" i="23"/>
  <c r="AC15" i="24"/>
  <c r="AS44" i="6"/>
  <c r="X44" i="6"/>
  <c r="AV44" i="6" s="1"/>
  <c r="AD15" i="24"/>
  <c r="Q48" i="3" s="1"/>
  <c r="AE15" i="24"/>
  <c r="AD48" i="3"/>
  <c r="AQ38" i="5"/>
  <c r="BH47" i="3"/>
  <c r="D38" i="5" s="1"/>
  <c r="I38" i="5" s="1"/>
  <c r="AK48" i="3"/>
  <c r="AC39" i="5" s="1"/>
  <c r="L40" i="6"/>
  <c r="AD40" i="6" s="1"/>
  <c r="AR40" i="6" s="1"/>
  <c r="AR48" i="3"/>
  <c r="V35" i="5"/>
  <c r="H41" i="6" s="1"/>
  <c r="E37" i="5"/>
  <c r="J37" i="5" s="1"/>
  <c r="G36" i="5"/>
  <c r="H36" i="5" s="1"/>
  <c r="O35" i="5"/>
  <c r="BE47" i="3"/>
  <c r="BF47" i="3"/>
  <c r="BM47" i="3" s="1"/>
  <c r="AE16" i="25"/>
  <c r="N37" i="5"/>
  <c r="BB58" i="6" l="1"/>
  <c r="C59" i="2" s="1"/>
  <c r="J60" i="6"/>
  <c r="BC58" i="6"/>
  <c r="AI58" i="6"/>
  <c r="AP58" i="6" s="1"/>
  <c r="R58" i="6"/>
  <c r="Q58" i="6" s="1"/>
  <c r="BN47" i="3"/>
  <c r="AI48" i="3"/>
  <c r="BI48" i="3" s="1"/>
  <c r="BD48" i="3"/>
  <c r="AJ39" i="5"/>
  <c r="AL45" i="6" s="1"/>
  <c r="AY48" i="3"/>
  <c r="R16" i="24"/>
  <c r="AP16" i="25"/>
  <c r="D15" i="23" s="1"/>
  <c r="BB48" i="3"/>
  <c r="AA37" i="5"/>
  <c r="M45" i="6"/>
  <c r="AE45" i="6" s="1"/>
  <c r="AT35" i="5"/>
  <c r="AB35" i="5"/>
  <c r="BA35" i="5" s="1"/>
  <c r="X17" i="25"/>
  <c r="AL17" i="25" s="1"/>
  <c r="Y16" i="24"/>
  <c r="BG47" i="3"/>
  <c r="K36" i="5"/>
  <c r="Q60" i="6" l="1"/>
  <c r="AA58" i="6"/>
  <c r="R60" i="6"/>
  <c r="AH58" i="6"/>
  <c r="BO47" i="3"/>
  <c r="K13" i="23"/>
  <c r="AC16" i="24"/>
  <c r="AS45" i="6"/>
  <c r="X45" i="6"/>
  <c r="AV45" i="6" s="1"/>
  <c r="AQ39" i="5"/>
  <c r="AD16" i="24"/>
  <c r="Q49" i="3" s="1"/>
  <c r="AE16" i="24"/>
  <c r="AD49" i="3"/>
  <c r="BH48" i="3"/>
  <c r="D39" i="5" s="1"/>
  <c r="I39" i="5" s="1"/>
  <c r="AK49" i="3"/>
  <c r="AC40" i="5" s="1"/>
  <c r="AR49" i="3"/>
  <c r="V36" i="5"/>
  <c r="H42" i="6" s="1"/>
  <c r="O36" i="5"/>
  <c r="L41" i="6"/>
  <c r="AD41" i="6" s="1"/>
  <c r="AR41" i="6" s="1"/>
  <c r="BE48" i="3"/>
  <c r="BF48" i="3"/>
  <c r="BM48" i="3" s="1"/>
  <c r="N38" i="5"/>
  <c r="E38" i="5"/>
  <c r="J38" i="5" s="1"/>
  <c r="G37" i="5"/>
  <c r="H37" i="5" s="1"/>
  <c r="AE17" i="25"/>
  <c r="AO58" i="6" l="1"/>
  <c r="BN48" i="3"/>
  <c r="AI49" i="3"/>
  <c r="BI49" i="3" s="1"/>
  <c r="BD49" i="3"/>
  <c r="AJ40" i="5"/>
  <c r="AL46" i="6" s="1"/>
  <c r="AY49" i="3"/>
  <c r="BB49" i="3"/>
  <c r="R17" i="24"/>
  <c r="AP17" i="25"/>
  <c r="D16" i="23" s="1"/>
  <c r="AA38" i="5"/>
  <c r="M46" i="6"/>
  <c r="AE46" i="6" s="1"/>
  <c r="AT36" i="5"/>
  <c r="AB36" i="5"/>
  <c r="BA36" i="5" s="1"/>
  <c r="BG48" i="3"/>
  <c r="X18" i="25"/>
  <c r="AL18" i="25" s="1"/>
  <c r="Y17" i="24"/>
  <c r="K37" i="5"/>
  <c r="BO48" i="3" l="1"/>
  <c r="K14" i="23"/>
  <c r="AC17" i="24"/>
  <c r="AS46" i="6"/>
  <c r="X46" i="6"/>
  <c r="AV46" i="6" s="1"/>
  <c r="V37" i="5"/>
  <c r="H43" i="6" s="1"/>
  <c r="AD17" i="24"/>
  <c r="Q50" i="3" s="1"/>
  <c r="AE17" i="24"/>
  <c r="AD50" i="3"/>
  <c r="BH49" i="3"/>
  <c r="D40" i="5" s="1"/>
  <c r="I40" i="5" s="1"/>
  <c r="AK50" i="3"/>
  <c r="AC41" i="5" s="1"/>
  <c r="AQ40" i="5"/>
  <c r="AR50" i="3"/>
  <c r="BE49" i="3"/>
  <c r="BF49" i="3"/>
  <c r="BM49" i="3" s="1"/>
  <c r="N39" i="5"/>
  <c r="AE18" i="25"/>
  <c r="O37" i="5"/>
  <c r="L42" i="6"/>
  <c r="AD42" i="6" s="1"/>
  <c r="AR42" i="6" s="1"/>
  <c r="E39" i="5"/>
  <c r="J39" i="5" s="1"/>
  <c r="G38" i="5"/>
  <c r="H38" i="5" s="1"/>
  <c r="BN49" i="3" l="1"/>
  <c r="AI50" i="3"/>
  <c r="BI50" i="3" s="1"/>
  <c r="BD50" i="3"/>
  <c r="AJ41" i="5"/>
  <c r="AL47" i="6" s="1"/>
  <c r="AY50" i="3"/>
  <c r="R18" i="24"/>
  <c r="AP18" i="25"/>
  <c r="D17" i="23" s="1"/>
  <c r="BB50" i="3"/>
  <c r="AA39" i="5"/>
  <c r="M47" i="6"/>
  <c r="AE47" i="6" s="1"/>
  <c r="AT37" i="5"/>
  <c r="AB37" i="5"/>
  <c r="BA37" i="5" s="1"/>
  <c r="K38" i="5"/>
  <c r="X19" i="25"/>
  <c r="AL19" i="25" s="1"/>
  <c r="Y18" i="24"/>
  <c r="BG49" i="3"/>
  <c r="BO49" i="3" l="1"/>
  <c r="K15" i="23"/>
  <c r="AC18" i="24"/>
  <c r="AS47" i="6"/>
  <c r="X47" i="6"/>
  <c r="AV47" i="6" s="1"/>
  <c r="V38" i="5"/>
  <c r="H44" i="6" s="1"/>
  <c r="AD18" i="24"/>
  <c r="Q51" i="3" s="1"/>
  <c r="AE18" i="24"/>
  <c r="AK51" i="3"/>
  <c r="AC42" i="5" s="1"/>
  <c r="AD51" i="3"/>
  <c r="BH50" i="3"/>
  <c r="D41" i="5" s="1"/>
  <c r="I41" i="5" s="1"/>
  <c r="AQ41" i="5"/>
  <c r="AR51" i="3"/>
  <c r="L43" i="6"/>
  <c r="AD43" i="6" s="1"/>
  <c r="AR43" i="6" s="1"/>
  <c r="N40" i="5"/>
  <c r="BE50" i="3"/>
  <c r="BF50" i="3"/>
  <c r="BM50" i="3" s="1"/>
  <c r="E40" i="5"/>
  <c r="J40" i="5" s="1"/>
  <c r="G39" i="5"/>
  <c r="H39" i="5" s="1"/>
  <c r="AE19" i="25"/>
  <c r="O38" i="5"/>
  <c r="BN50" i="3" l="1"/>
  <c r="AI51" i="3"/>
  <c r="BI51" i="3" s="1"/>
  <c r="BD51" i="3"/>
  <c r="AJ42" i="5"/>
  <c r="AL48" i="6" s="1"/>
  <c r="AY51" i="3"/>
  <c r="R19" i="24"/>
  <c r="AP19" i="25"/>
  <c r="D18" i="23" s="1"/>
  <c r="BB51" i="3"/>
  <c r="AA40" i="5"/>
  <c r="M48" i="6"/>
  <c r="AE48" i="6" s="1"/>
  <c r="AT38" i="5"/>
  <c r="AB38" i="5"/>
  <c r="BA38" i="5" s="1"/>
  <c r="K39" i="5"/>
  <c r="BG50" i="3"/>
  <c r="X20" i="25"/>
  <c r="AL20" i="25" s="1"/>
  <c r="Y19" i="24"/>
  <c r="BO50" i="3" l="1"/>
  <c r="K16" i="23"/>
  <c r="BH51" i="3"/>
  <c r="D42" i="5" s="1"/>
  <c r="I42" i="5" s="1"/>
  <c r="AC19" i="24"/>
  <c r="AS48" i="6"/>
  <c r="X48" i="6"/>
  <c r="AV48" i="6" s="1"/>
  <c r="V39" i="5"/>
  <c r="H45" i="6" s="1"/>
  <c r="AD19" i="24"/>
  <c r="Q52" i="3" s="1"/>
  <c r="AE19" i="24"/>
  <c r="AD52" i="3"/>
  <c r="AK52" i="3"/>
  <c r="AC43" i="5" s="1"/>
  <c r="AQ42" i="5"/>
  <c r="AR52" i="3"/>
  <c r="O39" i="5"/>
  <c r="N41" i="5"/>
  <c r="L44" i="6"/>
  <c r="AD44" i="6" s="1"/>
  <c r="AR44" i="6" s="1"/>
  <c r="BE51" i="3"/>
  <c r="BF51" i="3"/>
  <c r="BM51" i="3" s="1"/>
  <c r="AE20" i="25"/>
  <c r="E41" i="5"/>
  <c r="J41" i="5" s="1"/>
  <c r="G40" i="5"/>
  <c r="H40" i="5" s="1"/>
  <c r="BN51" i="3" l="1"/>
  <c r="AI52" i="3"/>
  <c r="BI52" i="3" s="1"/>
  <c r="BD52" i="3"/>
  <c r="AJ43" i="5"/>
  <c r="AL49" i="6" s="1"/>
  <c r="AY52" i="3"/>
  <c r="R20" i="24"/>
  <c r="AP20" i="25"/>
  <c r="D19" i="23" s="1"/>
  <c r="BB52" i="3"/>
  <c r="AA41" i="5"/>
  <c r="M49" i="6"/>
  <c r="AE49" i="6" s="1"/>
  <c r="AT39" i="5"/>
  <c r="AB39" i="5"/>
  <c r="BA39" i="5" s="1"/>
  <c r="X21" i="25"/>
  <c r="AL21" i="25" s="1"/>
  <c r="Y20" i="24"/>
  <c r="K40" i="5"/>
  <c r="BG51" i="3"/>
  <c r="BO51" i="3" l="1"/>
  <c r="K17" i="23"/>
  <c r="AC20" i="24"/>
  <c r="AS49" i="6"/>
  <c r="X49" i="6"/>
  <c r="AV49" i="6" s="1"/>
  <c r="V40" i="5"/>
  <c r="H46" i="6" s="1"/>
  <c r="AD20" i="24"/>
  <c r="Q53" i="3" s="1"/>
  <c r="AE20" i="24"/>
  <c r="BH52" i="3"/>
  <c r="D43" i="5" s="1"/>
  <c r="I43" i="5" s="1"/>
  <c r="AK53" i="3"/>
  <c r="AC44" i="5" s="1"/>
  <c r="AD53" i="3"/>
  <c r="AQ43" i="5"/>
  <c r="AR53" i="3"/>
  <c r="O40" i="5"/>
  <c r="AE21" i="25"/>
  <c r="N42" i="5"/>
  <c r="L45" i="6"/>
  <c r="AD45" i="6" s="1"/>
  <c r="AR45" i="6" s="1"/>
  <c r="E42" i="5"/>
  <c r="J42" i="5" s="1"/>
  <c r="G41" i="5"/>
  <c r="H41" i="5" s="1"/>
  <c r="BE52" i="3"/>
  <c r="BF52" i="3"/>
  <c r="BM52" i="3" s="1"/>
  <c r="BN52" i="3" l="1"/>
  <c r="AI53" i="3"/>
  <c r="BI53" i="3" s="1"/>
  <c r="BD53" i="3"/>
  <c r="AJ44" i="5"/>
  <c r="AL50" i="6" s="1"/>
  <c r="AY53" i="3"/>
  <c r="R21" i="24"/>
  <c r="AP21" i="25"/>
  <c r="D20" i="23" s="1"/>
  <c r="BB53" i="3"/>
  <c r="AA42" i="5"/>
  <c r="M50" i="6"/>
  <c r="AE50" i="6" s="1"/>
  <c r="AT40" i="5"/>
  <c r="AB40" i="5"/>
  <c r="BA40" i="5" s="1"/>
  <c r="K41" i="5"/>
  <c r="X22" i="25"/>
  <c r="AL22" i="25" s="1"/>
  <c r="Y21" i="24"/>
  <c r="BG52" i="3"/>
  <c r="BO52" i="3" l="1"/>
  <c r="K18" i="23"/>
  <c r="AC21" i="24"/>
  <c r="AS50" i="6"/>
  <c r="X50" i="6"/>
  <c r="AV50" i="6" s="1"/>
  <c r="V41" i="5"/>
  <c r="H47" i="6" s="1"/>
  <c r="AD21" i="24"/>
  <c r="Q54" i="3" s="1"/>
  <c r="AE21" i="24"/>
  <c r="AD54" i="3"/>
  <c r="BH53" i="3"/>
  <c r="D44" i="5" s="1"/>
  <c r="I44" i="5" s="1"/>
  <c r="AK54" i="3"/>
  <c r="AC45" i="5" s="1"/>
  <c r="AQ44" i="5"/>
  <c r="AR54" i="3"/>
  <c r="E43" i="5"/>
  <c r="J43" i="5" s="1"/>
  <c r="G42" i="5"/>
  <c r="H42" i="5" s="1"/>
  <c r="N43" i="5"/>
  <c r="O41" i="5"/>
  <c r="L46" i="6"/>
  <c r="AD46" i="6" s="1"/>
  <c r="AR46" i="6" s="1"/>
  <c r="BE53" i="3"/>
  <c r="BF53" i="3"/>
  <c r="BM53" i="3" s="1"/>
  <c r="AE22" i="25"/>
  <c r="BN53" i="3" l="1"/>
  <c r="AI54" i="3"/>
  <c r="BH54" i="3" s="1"/>
  <c r="D45" i="5" s="1"/>
  <c r="I45" i="5" s="1"/>
  <c r="BD54" i="3"/>
  <c r="AJ45" i="5"/>
  <c r="AL51" i="6" s="1"/>
  <c r="AY54" i="3"/>
  <c r="R22" i="24"/>
  <c r="AP22" i="25"/>
  <c r="D21" i="23" s="1"/>
  <c r="BB54" i="3"/>
  <c r="AA43" i="5"/>
  <c r="M51" i="6"/>
  <c r="AE51" i="6" s="1"/>
  <c r="AT41" i="5"/>
  <c r="AB41" i="5"/>
  <c r="BA41" i="5" s="1"/>
  <c r="K42" i="5"/>
  <c r="X23" i="25"/>
  <c r="AL23" i="25" s="1"/>
  <c r="Y22" i="24"/>
  <c r="BG53" i="3"/>
  <c r="L47" i="6"/>
  <c r="BO53" i="3" l="1"/>
  <c r="K19" i="23"/>
  <c r="AS51" i="6"/>
  <c r="AC22" i="24"/>
  <c r="AD47" i="6"/>
  <c r="AR47" i="6" s="1"/>
  <c r="X51" i="6"/>
  <c r="AV51" i="6" s="1"/>
  <c r="BI54" i="3"/>
  <c r="V42" i="5"/>
  <c r="H48" i="6" s="1"/>
  <c r="AD22" i="24"/>
  <c r="Q55" i="3" s="1"/>
  <c r="AE22" i="24"/>
  <c r="AD55" i="3"/>
  <c r="AK55" i="3"/>
  <c r="AC46" i="5" s="1"/>
  <c r="AQ45" i="5"/>
  <c r="AR55" i="3"/>
  <c r="BE54" i="3"/>
  <c r="BF54" i="3"/>
  <c r="BM54" i="3" s="1"/>
  <c r="AE23" i="25"/>
  <c r="E44" i="5"/>
  <c r="J44" i="5" s="1"/>
  <c r="G43" i="5"/>
  <c r="H43" i="5" s="1"/>
  <c r="N44" i="5"/>
  <c r="O42" i="5"/>
  <c r="BN54" i="3" l="1"/>
  <c r="AI55" i="3"/>
  <c r="BH55" i="3" s="1"/>
  <c r="D46" i="5" s="1"/>
  <c r="I46" i="5" s="1"/>
  <c r="BD55" i="3"/>
  <c r="AJ46" i="5"/>
  <c r="AL52" i="6" s="1"/>
  <c r="AY55" i="3"/>
  <c r="BB55" i="3"/>
  <c r="R23" i="24"/>
  <c r="AP23" i="25"/>
  <c r="D22" i="23" s="1"/>
  <c r="AA44" i="5"/>
  <c r="M52" i="6"/>
  <c r="AE52" i="6" s="1"/>
  <c r="AT42" i="5"/>
  <c r="AB42" i="5"/>
  <c r="BA42" i="5" s="1"/>
  <c r="K43" i="5"/>
  <c r="BG54" i="3"/>
  <c r="X24" i="25"/>
  <c r="AL24" i="25" s="1"/>
  <c r="Y23" i="24"/>
  <c r="BO54" i="3" l="1"/>
  <c r="K20" i="23"/>
  <c r="AS52" i="6"/>
  <c r="AC23" i="24"/>
  <c r="X52" i="6"/>
  <c r="AV52" i="6" s="1"/>
  <c r="AD23" i="24"/>
  <c r="Q56" i="3" s="1"/>
  <c r="AE23" i="24"/>
  <c r="AK56" i="3"/>
  <c r="AC47" i="5" s="1"/>
  <c r="AD56" i="3"/>
  <c r="BI55" i="3"/>
  <c r="AQ46" i="5"/>
  <c r="AR56" i="3"/>
  <c r="V43" i="5"/>
  <c r="H49" i="6" s="1"/>
  <c r="N45" i="5"/>
  <c r="AE24" i="25"/>
  <c r="E45" i="5"/>
  <c r="J45" i="5" s="1"/>
  <c r="G44" i="5"/>
  <c r="H44" i="5" s="1"/>
  <c r="BE55" i="3"/>
  <c r="BF55" i="3"/>
  <c r="BM55" i="3" s="1"/>
  <c r="L48" i="6"/>
  <c r="AD48" i="6" s="1"/>
  <c r="AR48" i="6" s="1"/>
  <c r="O43" i="5"/>
  <c r="BN55" i="3" l="1"/>
  <c r="AI56" i="3"/>
  <c r="BI56" i="3" s="1"/>
  <c r="BD56" i="3"/>
  <c r="AJ47" i="5"/>
  <c r="AL53" i="6" s="1"/>
  <c r="AY56" i="3"/>
  <c r="BB56" i="3"/>
  <c r="R24" i="24"/>
  <c r="AP24" i="25"/>
  <c r="D23" i="23" s="1"/>
  <c r="AA45" i="5"/>
  <c r="M53" i="6"/>
  <c r="AE53" i="6" s="1"/>
  <c r="AT43" i="5"/>
  <c r="AB43" i="5"/>
  <c r="BA43" i="5" s="1"/>
  <c r="BG55" i="3"/>
  <c r="X25" i="25"/>
  <c r="AL25" i="25" s="1"/>
  <c r="Y24" i="24"/>
  <c r="K44" i="5"/>
  <c r="BO55" i="3" l="1"/>
  <c r="K21" i="23"/>
  <c r="AC24" i="24"/>
  <c r="AS53" i="6"/>
  <c r="X53" i="6"/>
  <c r="AV53" i="6" s="1"/>
  <c r="V44" i="5"/>
  <c r="H50" i="6" s="1"/>
  <c r="AD24" i="24"/>
  <c r="Q57" i="3" s="1"/>
  <c r="AE24" i="24"/>
  <c r="AD57" i="3"/>
  <c r="AQ47" i="5"/>
  <c r="AK57" i="3"/>
  <c r="AC48" i="5" s="1"/>
  <c r="BH56" i="3"/>
  <c r="D47" i="5" s="1"/>
  <c r="I47" i="5" s="1"/>
  <c r="AR57" i="3"/>
  <c r="AE25" i="25"/>
  <c r="O44" i="5"/>
  <c r="L49" i="6"/>
  <c r="AD49" i="6" s="1"/>
  <c r="AR49" i="6" s="1"/>
  <c r="E46" i="5"/>
  <c r="J46" i="5" s="1"/>
  <c r="G45" i="5"/>
  <c r="H45" i="5" s="1"/>
  <c r="N46" i="5"/>
  <c r="BE56" i="3"/>
  <c r="BF56" i="3"/>
  <c r="BM56" i="3" s="1"/>
  <c r="BN56" i="3" l="1"/>
  <c r="AI57" i="3"/>
  <c r="BI57" i="3" s="1"/>
  <c r="BD57" i="3"/>
  <c r="AJ48" i="5"/>
  <c r="AL54" i="6" s="1"/>
  <c r="AY57" i="3"/>
  <c r="R25" i="24"/>
  <c r="AP25" i="25"/>
  <c r="D24" i="23" s="1"/>
  <c r="BB57" i="3"/>
  <c r="AA46" i="5"/>
  <c r="M54" i="6"/>
  <c r="AE54" i="6" s="1"/>
  <c r="AT44" i="5"/>
  <c r="AB44" i="5"/>
  <c r="BA44" i="5" s="1"/>
  <c r="K45" i="5"/>
  <c r="X26" i="25"/>
  <c r="AL26" i="25" s="1"/>
  <c r="Y25" i="24"/>
  <c r="BG56" i="3"/>
  <c r="BO56" i="3" l="1"/>
  <c r="K22" i="23"/>
  <c r="AS54" i="6"/>
  <c r="AC25" i="24"/>
  <c r="X54" i="6"/>
  <c r="AV54" i="6" s="1"/>
  <c r="V45" i="5"/>
  <c r="H51" i="6" s="1"/>
  <c r="AD25" i="24"/>
  <c r="Q58" i="3" s="1"/>
  <c r="AE25" i="24"/>
  <c r="AD58" i="3"/>
  <c r="BH57" i="3"/>
  <c r="D48" i="5" s="1"/>
  <c r="I48" i="5" s="1"/>
  <c r="AK58" i="3"/>
  <c r="AC49" i="5" s="1"/>
  <c r="AQ48" i="5"/>
  <c r="AR58" i="3"/>
  <c r="L50" i="6"/>
  <c r="AD50" i="6" s="1"/>
  <c r="AR50" i="6" s="1"/>
  <c r="N47" i="5"/>
  <c r="E47" i="5"/>
  <c r="J47" i="5" s="1"/>
  <c r="G46" i="5"/>
  <c r="H46" i="5" s="1"/>
  <c r="BE57" i="3"/>
  <c r="BF57" i="3"/>
  <c r="BM57" i="3" s="1"/>
  <c r="O45" i="5"/>
  <c r="AE26" i="25"/>
  <c r="BN57" i="3" l="1"/>
  <c r="AI58" i="3"/>
  <c r="BI58" i="3" s="1"/>
  <c r="BD58" i="3"/>
  <c r="AJ49" i="5"/>
  <c r="AL55" i="6" s="1"/>
  <c r="AY58" i="3"/>
  <c r="BB58" i="3"/>
  <c r="R26" i="24"/>
  <c r="AP26" i="25"/>
  <c r="D25" i="23" s="1"/>
  <c r="AA47" i="5"/>
  <c r="M55" i="6"/>
  <c r="AE55" i="6" s="1"/>
  <c r="AT45" i="5"/>
  <c r="AB45" i="5"/>
  <c r="BA45" i="5" s="1"/>
  <c r="L51" i="6"/>
  <c r="BG57" i="3"/>
  <c r="X27" i="25"/>
  <c r="AL27" i="25" s="1"/>
  <c r="Y26" i="24"/>
  <c r="K46" i="5"/>
  <c r="BO57" i="3" l="1"/>
  <c r="K23" i="23"/>
  <c r="AD51" i="6"/>
  <c r="AR51" i="6" s="1"/>
  <c r="AC26" i="24"/>
  <c r="AS55" i="6"/>
  <c r="X55" i="6"/>
  <c r="AV55" i="6" s="1"/>
  <c r="V46" i="5"/>
  <c r="H52" i="6" s="1"/>
  <c r="AD26" i="24"/>
  <c r="Q59" i="3" s="1"/>
  <c r="AE26" i="24"/>
  <c r="AD59" i="3"/>
  <c r="AQ49" i="5"/>
  <c r="AK59" i="3"/>
  <c r="AC50" i="5" s="1"/>
  <c r="BH58" i="3"/>
  <c r="D49" i="5" s="1"/>
  <c r="I49" i="5" s="1"/>
  <c r="AR59" i="3"/>
  <c r="E48" i="5"/>
  <c r="J48" i="5" s="1"/>
  <c r="G47" i="5"/>
  <c r="H47" i="5" s="1"/>
  <c r="BE58" i="3"/>
  <c r="BF58" i="3"/>
  <c r="BM58" i="3" s="1"/>
  <c r="AE27" i="25"/>
  <c r="N48" i="5"/>
  <c r="O46" i="5"/>
  <c r="BN58" i="3" l="1"/>
  <c r="AI59" i="3"/>
  <c r="BI59" i="3" s="1"/>
  <c r="BD59" i="3"/>
  <c r="AJ50" i="5"/>
  <c r="AL56" i="6" s="1"/>
  <c r="AY59" i="3"/>
  <c r="BB59" i="3"/>
  <c r="R27" i="24"/>
  <c r="AP27" i="25"/>
  <c r="D26" i="23" s="1"/>
  <c r="AA48" i="5"/>
  <c r="M56" i="6"/>
  <c r="AE56" i="6" s="1"/>
  <c r="AT46" i="5"/>
  <c r="AB46" i="5"/>
  <c r="BA46" i="5" s="1"/>
  <c r="X28" i="25"/>
  <c r="AL28" i="25" s="1"/>
  <c r="Y27" i="24"/>
  <c r="K47" i="5"/>
  <c r="BG58" i="3"/>
  <c r="BO58" i="3" l="1"/>
  <c r="K24" i="23"/>
  <c r="AC27" i="24"/>
  <c r="AS56" i="6"/>
  <c r="X56" i="6"/>
  <c r="AV56" i="6" s="1"/>
  <c r="V47" i="5"/>
  <c r="H53" i="6" s="1"/>
  <c r="AD27" i="24"/>
  <c r="Q60" i="3" s="1"/>
  <c r="AE27" i="24"/>
  <c r="AD60" i="3"/>
  <c r="AK60" i="3"/>
  <c r="AC51" i="5" s="1"/>
  <c r="BH59" i="3"/>
  <c r="D50" i="5" s="1"/>
  <c r="I50" i="5" s="1"/>
  <c r="AQ50" i="5"/>
  <c r="AR60" i="3"/>
  <c r="O47" i="5"/>
  <c r="BE59" i="3"/>
  <c r="BF59" i="3"/>
  <c r="BM59" i="3" s="1"/>
  <c r="N49" i="5"/>
  <c r="L52" i="6"/>
  <c r="AD52" i="6" s="1"/>
  <c r="AR52" i="6" s="1"/>
  <c r="Y28" i="24"/>
  <c r="AE28" i="25"/>
  <c r="E49" i="5"/>
  <c r="J49" i="5" s="1"/>
  <c r="G48" i="5"/>
  <c r="H48" i="5" s="1"/>
  <c r="BN59" i="3" l="1"/>
  <c r="AD28" i="24"/>
  <c r="Q61" i="3" s="1"/>
  <c r="AE28" i="24"/>
  <c r="AD61" i="3"/>
  <c r="AD63" i="3" s="1"/>
  <c r="AI60" i="3"/>
  <c r="BI60" i="3" s="1"/>
  <c r="BD60" i="3"/>
  <c r="AJ51" i="5"/>
  <c r="AL57" i="6" s="1"/>
  <c r="AY60" i="3"/>
  <c r="AR61" i="3"/>
  <c r="BB60" i="3"/>
  <c r="R28" i="24"/>
  <c r="AC28" i="24" s="1"/>
  <c r="AP28" i="25"/>
  <c r="D27" i="23" s="1"/>
  <c r="AA49" i="5"/>
  <c r="U54" i="5"/>
  <c r="M57" i="6"/>
  <c r="AE57" i="6" s="1"/>
  <c r="T54" i="5"/>
  <c r="AT47" i="5"/>
  <c r="AB47" i="5"/>
  <c r="BA47" i="5" s="1"/>
  <c r="K48" i="5"/>
  <c r="BG59" i="3"/>
  <c r="D28" i="23" l="1"/>
  <c r="BO59" i="3"/>
  <c r="K25" i="23"/>
  <c r="AS57" i="6"/>
  <c r="X57" i="6"/>
  <c r="AV57" i="6" s="1"/>
  <c r="V48" i="5"/>
  <c r="H54" i="6" s="1"/>
  <c r="AK61" i="3"/>
  <c r="AC52" i="5" s="1"/>
  <c r="BH60" i="3"/>
  <c r="D51" i="5" s="1"/>
  <c r="I51" i="5" s="1"/>
  <c r="AQ51" i="5"/>
  <c r="AI61" i="3"/>
  <c r="BI61" i="3" s="1"/>
  <c r="BD61" i="3"/>
  <c r="AJ52" i="5"/>
  <c r="AL58" i="6" s="1"/>
  <c r="AY61" i="3"/>
  <c r="BB61" i="3"/>
  <c r="E50" i="5"/>
  <c r="J50" i="5" s="1"/>
  <c r="G49" i="5"/>
  <c r="H49" i="5" s="1"/>
  <c r="BE60" i="3"/>
  <c r="BF60" i="3"/>
  <c r="BM60" i="3" s="1"/>
  <c r="N50" i="5"/>
  <c r="O48" i="5"/>
  <c r="Q63" i="3"/>
  <c r="L53" i="6"/>
  <c r="AD53" i="6" s="1"/>
  <c r="AR53" i="6" s="1"/>
  <c r="C29" i="3" l="1"/>
  <c r="C25" i="3" s="1"/>
  <c r="D29" i="3"/>
  <c r="D25" i="3" s="1"/>
  <c r="E29" i="3"/>
  <c r="E25" i="3" s="1"/>
  <c r="BN60" i="3"/>
  <c r="BF62" i="3"/>
  <c r="X58" i="6"/>
  <c r="AQ52" i="5"/>
  <c r="BH61" i="3"/>
  <c r="D52" i="5" s="1"/>
  <c r="I52" i="5" s="1"/>
  <c r="BB63" i="3"/>
  <c r="AA50" i="5"/>
  <c r="AT48" i="5"/>
  <c r="AB48" i="5"/>
  <c r="BA48" i="5" s="1"/>
  <c r="BE61" i="3"/>
  <c r="BD63" i="3"/>
  <c r="BF61" i="3"/>
  <c r="BM61" i="3" s="1"/>
  <c r="K49" i="5"/>
  <c r="BG60" i="3"/>
  <c r="C31" i="3" l="1"/>
  <c r="G27" i="20" s="1"/>
  <c r="BO60" i="3"/>
  <c r="K26" i="23"/>
  <c r="BN61" i="3"/>
  <c r="AV58" i="6"/>
  <c r="X60" i="6"/>
  <c r="V49" i="5"/>
  <c r="H55" i="6" s="1"/>
  <c r="M58" i="6"/>
  <c r="AE58" i="6" s="1"/>
  <c r="AS58" i="6" s="1"/>
  <c r="I60" i="6"/>
  <c r="I54" i="5"/>
  <c r="E27" i="20"/>
  <c r="O49" i="5"/>
  <c r="D54" i="5"/>
  <c r="L54" i="6"/>
  <c r="AD54" i="6" s="1"/>
  <c r="AR54" i="6" s="1"/>
  <c r="BG61" i="3"/>
  <c r="E51" i="5"/>
  <c r="J51" i="5" s="1"/>
  <c r="G50" i="5"/>
  <c r="H50" i="5" s="1"/>
  <c r="N51" i="5"/>
  <c r="D27" i="6" l="1"/>
  <c r="D23" i="6" s="1"/>
  <c r="D31" i="3"/>
  <c r="D27" i="3" s="1"/>
  <c r="E31" i="3"/>
  <c r="E27" i="3" s="1"/>
  <c r="C27" i="3"/>
  <c r="BO61" i="3"/>
  <c r="K27" i="23"/>
  <c r="AV60" i="6"/>
  <c r="AA51" i="5"/>
  <c r="M60" i="6"/>
  <c r="AT49" i="5"/>
  <c r="AB49" i="5"/>
  <c r="BA49" i="5" s="1"/>
  <c r="N52" i="5"/>
  <c r="AA52" i="5" s="1"/>
  <c r="K50" i="5"/>
  <c r="K28" i="23" l="1"/>
  <c r="V50" i="5"/>
  <c r="H56" i="6" s="1"/>
  <c r="E52" i="5"/>
  <c r="J52" i="5" s="1"/>
  <c r="G51" i="5"/>
  <c r="H51" i="5" s="1"/>
  <c r="L55" i="6"/>
  <c r="AD55" i="6" s="1"/>
  <c r="AR55" i="6" s="1"/>
  <c r="O50" i="5"/>
  <c r="N54" i="5"/>
  <c r="J54" i="5" l="1"/>
  <c r="AT50" i="5"/>
  <c r="AB50" i="5"/>
  <c r="BA50" i="5" s="1"/>
  <c r="K51" i="5"/>
  <c r="L56" i="6"/>
  <c r="AD56" i="6" l="1"/>
  <c r="AR56" i="6" s="1"/>
  <c r="V51" i="5"/>
  <c r="H57" i="6" s="1"/>
  <c r="G52" i="5"/>
  <c r="H52" i="5" s="1"/>
  <c r="E54" i="5"/>
  <c r="O51" i="5"/>
  <c r="AT51" i="5" l="1"/>
  <c r="AB51" i="5"/>
  <c r="BA51" i="5" s="1"/>
  <c r="K52" i="5"/>
  <c r="C12" i="5"/>
  <c r="C13" i="5" s="1"/>
  <c r="V52" i="5" l="1"/>
  <c r="H58" i="6" s="1"/>
  <c r="C14" i="5"/>
  <c r="D28" i="20" s="1"/>
  <c r="C28" i="20"/>
  <c r="H28" i="20"/>
  <c r="I28" i="20" s="1"/>
  <c r="J28" i="20" s="1"/>
  <c r="L57" i="6"/>
  <c r="AD57" i="6" s="1"/>
  <c r="AR57" i="6" s="1"/>
  <c r="O52" i="5"/>
  <c r="K54" i="5"/>
  <c r="H54" i="5"/>
  <c r="AT52" i="5" l="1"/>
  <c r="C20" i="5" s="1"/>
  <c r="AB52" i="5"/>
  <c r="BA52" i="5" s="1"/>
  <c r="O54" i="5"/>
  <c r="C16" i="5" l="1"/>
  <c r="H60" i="6"/>
  <c r="L58" i="6"/>
  <c r="AD58" i="6" s="1"/>
  <c r="AR58" i="6" s="1"/>
  <c r="AT54" i="5"/>
  <c r="E28" i="20" l="1"/>
  <c r="L60" i="6"/>
  <c r="AS28" i="5" l="1"/>
  <c r="S29" i="5"/>
  <c r="R29" i="5" l="1"/>
  <c r="AS29" i="5" s="1"/>
  <c r="AU29" i="5" s="1"/>
  <c r="AE29" i="5"/>
  <c r="AU28" i="5"/>
  <c r="AV28" i="5"/>
  <c r="BB28" i="5" s="1"/>
  <c r="BC28" i="5" l="1"/>
  <c r="J3" i="23" s="1"/>
  <c r="S30" i="5"/>
  <c r="R30" i="5" s="1"/>
  <c r="X30" i="5" s="1"/>
  <c r="AL29" i="5"/>
  <c r="S35" i="6"/>
  <c r="AV29" i="5"/>
  <c r="BB29" i="5" s="1"/>
  <c r="X29" i="5"/>
  <c r="P35" i="6" s="1"/>
  <c r="AW28" i="5"/>
  <c r="BD28" i="5" l="1"/>
  <c r="AW29" i="5"/>
  <c r="BC29" i="5"/>
  <c r="BD29" i="5" s="1"/>
  <c r="S31" i="5"/>
  <c r="AE31" i="5" s="1"/>
  <c r="S37" i="6" s="1"/>
  <c r="AU37" i="6" s="1"/>
  <c r="AS30" i="5"/>
  <c r="AE30" i="5"/>
  <c r="S36" i="6" s="1"/>
  <c r="AU36" i="6" s="1"/>
  <c r="AG35" i="6"/>
  <c r="O35" i="6"/>
  <c r="AZ29" i="5"/>
  <c r="K35" i="6" s="1"/>
  <c r="AC35" i="6" s="1"/>
  <c r="AQ35" i="6" s="1"/>
  <c r="AU35" i="6"/>
  <c r="AZ34" i="6"/>
  <c r="BF34" i="6" s="1"/>
  <c r="BG34" i="6" l="1"/>
  <c r="AU30" i="5"/>
  <c r="R31" i="5"/>
  <c r="S32" i="5" s="1"/>
  <c r="AE32" i="5" s="1"/>
  <c r="S38" i="6" s="1"/>
  <c r="AL31" i="5"/>
  <c r="J4" i="23"/>
  <c r="AV30" i="5"/>
  <c r="BB30" i="5" s="1"/>
  <c r="AL30" i="5"/>
  <c r="P36" i="6"/>
  <c r="O36" i="6" s="1"/>
  <c r="Z36" i="6" s="1"/>
  <c r="AZ30" i="5"/>
  <c r="K36" i="6" s="1"/>
  <c r="AX36" i="6" s="1"/>
  <c r="Z35" i="6"/>
  <c r="AN35" i="6" s="1"/>
  <c r="AX35" i="6"/>
  <c r="AW35" i="6"/>
  <c r="BA34" i="6"/>
  <c r="BH34" i="6" l="1"/>
  <c r="E3" i="23" s="1"/>
  <c r="I3" i="23"/>
  <c r="AL32" i="5"/>
  <c r="AS31" i="5"/>
  <c r="X31" i="5"/>
  <c r="AZ31" i="5" s="1"/>
  <c r="K37" i="6" s="1"/>
  <c r="AC37" i="6" s="1"/>
  <c r="AQ37" i="6" s="1"/>
  <c r="R32" i="5"/>
  <c r="X32" i="5" s="1"/>
  <c r="AZ32" i="5" s="1"/>
  <c r="K38" i="6" s="1"/>
  <c r="AW30" i="5"/>
  <c r="BC30" i="5"/>
  <c r="BD30" i="5" s="1"/>
  <c r="AG36" i="6"/>
  <c r="AC36" i="6"/>
  <c r="AQ36" i="6" s="1"/>
  <c r="AW36" i="6"/>
  <c r="AY36" i="6" s="1"/>
  <c r="AZ35" i="6"/>
  <c r="BF35" i="6" s="1"/>
  <c r="AY35" i="6"/>
  <c r="AU38" i="6"/>
  <c r="BE35" i="6"/>
  <c r="BD35" i="6"/>
  <c r="BG35" i="6" l="1"/>
  <c r="AU31" i="5"/>
  <c r="P37" i="6"/>
  <c r="AG37" i="6" s="1"/>
  <c r="S33" i="5"/>
  <c r="AE33" i="5" s="1"/>
  <c r="AL33" i="5" s="1"/>
  <c r="AV31" i="5"/>
  <c r="BB31" i="5" s="1"/>
  <c r="AS32" i="5"/>
  <c r="AU32" i="5" s="1"/>
  <c r="BE36" i="6"/>
  <c r="BD36" i="6"/>
  <c r="AN36" i="6"/>
  <c r="J5" i="23"/>
  <c r="AZ36" i="6"/>
  <c r="BF36" i="6" s="1"/>
  <c r="AX38" i="6"/>
  <c r="AC38" i="6"/>
  <c r="AQ38" i="6" s="1"/>
  <c r="BA35" i="6"/>
  <c r="AX37" i="6"/>
  <c r="BE37" i="6"/>
  <c r="BH35" i="6" l="1"/>
  <c r="E4" i="23" s="1"/>
  <c r="I4" i="23"/>
  <c r="BG36" i="6"/>
  <c r="BC31" i="5"/>
  <c r="P38" i="6"/>
  <c r="AG38" i="6" s="1"/>
  <c r="R33" i="5"/>
  <c r="S34" i="5" s="1"/>
  <c r="R34" i="5" s="1"/>
  <c r="X34" i="5" s="1"/>
  <c r="S39" i="6"/>
  <c r="AU39" i="6" s="1"/>
  <c r="O37" i="6"/>
  <c r="Z37" i="6" s="1"/>
  <c r="AN37" i="6" s="1"/>
  <c r="AW31" i="5"/>
  <c r="AV32" i="5"/>
  <c r="BB32" i="5" s="1"/>
  <c r="BA36" i="6"/>
  <c r="BE38" i="6"/>
  <c r="BH36" i="6" l="1"/>
  <c r="E5" i="23" s="1"/>
  <c r="I5" i="23"/>
  <c r="BD31" i="5"/>
  <c r="J6" i="23"/>
  <c r="BC32" i="5"/>
  <c r="O38" i="6"/>
  <c r="Z38" i="6" s="1"/>
  <c r="AN38" i="6" s="1"/>
  <c r="X33" i="5"/>
  <c r="P39" i="6" s="1"/>
  <c r="AG39" i="6" s="1"/>
  <c r="AS33" i="5"/>
  <c r="AU33" i="5" s="1"/>
  <c r="AS34" i="5"/>
  <c r="AU34" i="5" s="1"/>
  <c r="S35" i="5"/>
  <c r="AE35" i="5" s="1"/>
  <c r="AL35" i="5" s="1"/>
  <c r="AE34" i="5"/>
  <c r="AZ34" i="5" s="1"/>
  <c r="K40" i="6" s="1"/>
  <c r="AX40" i="6" s="1"/>
  <c r="AW37" i="6"/>
  <c r="AZ37" i="6" s="1"/>
  <c r="BF37" i="6" s="1"/>
  <c r="BD37" i="6"/>
  <c r="AW32" i="5"/>
  <c r="AZ33" i="5" l="1"/>
  <c r="K39" i="6" s="1"/>
  <c r="AC39" i="6" s="1"/>
  <c r="AQ39" i="6" s="1"/>
  <c r="S40" i="6"/>
  <c r="AU40" i="6" s="1"/>
  <c r="BG37" i="6"/>
  <c r="O39" i="6"/>
  <c r="Z39" i="6" s="1"/>
  <c r="AN39" i="6" s="1"/>
  <c r="BD38" i="6"/>
  <c r="AW38" i="6"/>
  <c r="AY38" i="6" s="1"/>
  <c r="BD32" i="5"/>
  <c r="J7" i="23"/>
  <c r="AV34" i="5"/>
  <c r="AV33" i="5"/>
  <c r="BB33" i="5" s="1"/>
  <c r="AC40" i="6"/>
  <c r="AQ40" i="6" s="1"/>
  <c r="AY37" i="6"/>
  <c r="R35" i="5"/>
  <c r="X35" i="5" s="1"/>
  <c r="AZ35" i="5" s="1"/>
  <c r="K41" i="6" s="1"/>
  <c r="AC41" i="6" s="1"/>
  <c r="AQ41" i="6" s="1"/>
  <c r="S41" i="6"/>
  <c r="AU41" i="6" s="1"/>
  <c r="AL34" i="5"/>
  <c r="P40" i="6"/>
  <c r="O40" i="6" s="1"/>
  <c r="Z40" i="6" s="1"/>
  <c r="BA37" i="6"/>
  <c r="AW39" i="6" l="1"/>
  <c r="AZ38" i="6"/>
  <c r="BF38" i="6" s="1"/>
  <c r="BG38" i="6" s="1"/>
  <c r="AW34" i="5"/>
  <c r="BB34" i="5"/>
  <c r="AX39" i="6"/>
  <c r="AY39" i="6" s="1"/>
  <c r="BE39" i="6"/>
  <c r="BD39" i="6"/>
  <c r="BH37" i="6"/>
  <c r="E6" i="23" s="1"/>
  <c r="I6" i="23"/>
  <c r="AS35" i="5"/>
  <c r="AU35" i="5" s="1"/>
  <c r="S36" i="5"/>
  <c r="R36" i="5" s="1"/>
  <c r="AS36" i="5" s="1"/>
  <c r="BC33" i="5"/>
  <c r="AW33" i="5"/>
  <c r="BE40" i="6"/>
  <c r="P41" i="6"/>
  <c r="O41" i="6" s="1"/>
  <c r="Z41" i="6" s="1"/>
  <c r="AG40" i="6"/>
  <c r="AN40" i="6" s="1"/>
  <c r="AW40" i="6"/>
  <c r="AY40" i="6" s="1"/>
  <c r="AX41" i="6"/>
  <c r="BE41" i="6"/>
  <c r="BA38" i="6" l="1"/>
  <c r="AZ39" i="6"/>
  <c r="BF39" i="6" s="1"/>
  <c r="BG39" i="6" s="1"/>
  <c r="I8" i="23" s="1"/>
  <c r="X36" i="5"/>
  <c r="S37" i="5"/>
  <c r="AE37" i="5" s="1"/>
  <c r="AE36" i="5"/>
  <c r="S42" i="6" s="1"/>
  <c r="AU42" i="6" s="1"/>
  <c r="AV35" i="5"/>
  <c r="BB35" i="5" s="1"/>
  <c r="BH38" i="6"/>
  <c r="E7" i="23" s="1"/>
  <c r="I7" i="23"/>
  <c r="AW41" i="6"/>
  <c r="AY41" i="6" s="1"/>
  <c r="J8" i="23"/>
  <c r="BC34" i="5"/>
  <c r="J9" i="23" s="1"/>
  <c r="BD33" i="5"/>
  <c r="AG41" i="6"/>
  <c r="AN41" i="6" s="1"/>
  <c r="BD40" i="6"/>
  <c r="AZ40" i="6"/>
  <c r="AU36" i="5"/>
  <c r="AV36" i="5"/>
  <c r="BB36" i="5" l="1"/>
  <c r="BA39" i="6"/>
  <c r="BF40" i="6"/>
  <c r="BG40" i="6" s="1"/>
  <c r="R37" i="5"/>
  <c r="X37" i="5" s="1"/>
  <c r="AZ36" i="5"/>
  <c r="K42" i="6" s="1"/>
  <c r="AC42" i="6" s="1"/>
  <c r="AQ42" i="6" s="1"/>
  <c r="P42" i="6"/>
  <c r="O42" i="6" s="1"/>
  <c r="AW42" i="6" s="1"/>
  <c r="AL36" i="5"/>
  <c r="AW35" i="5"/>
  <c r="AZ41" i="6" s="1"/>
  <c r="BC35" i="5"/>
  <c r="BD35" i="5" s="1"/>
  <c r="BD34" i="5"/>
  <c r="BD41" i="6"/>
  <c r="BA40" i="6"/>
  <c r="BH39" i="6"/>
  <c r="E8" i="23" s="1"/>
  <c r="AW36" i="5"/>
  <c r="S43" i="6"/>
  <c r="AL37" i="5"/>
  <c r="BA41" i="6" l="1"/>
  <c r="BF41" i="6"/>
  <c r="BG41" i="6" s="1"/>
  <c r="AS37" i="5"/>
  <c r="AV37" i="5" s="1"/>
  <c r="BB37" i="5" s="1"/>
  <c r="Z42" i="6"/>
  <c r="AG42" i="6"/>
  <c r="S38" i="5"/>
  <c r="R38" i="5" s="1"/>
  <c r="S39" i="5" s="1"/>
  <c r="P43" i="6"/>
  <c r="AG43" i="6" s="1"/>
  <c r="BE42" i="6"/>
  <c r="AX42" i="6"/>
  <c r="AY42" i="6" s="1"/>
  <c r="J10" i="23"/>
  <c r="BC36" i="5"/>
  <c r="BD36" i="5" s="1"/>
  <c r="BH40" i="6"/>
  <c r="E9" i="23" s="1"/>
  <c r="I9" i="23"/>
  <c r="AZ37" i="5"/>
  <c r="K43" i="6" s="1"/>
  <c r="AU43" i="6"/>
  <c r="J11" i="23" l="1"/>
  <c r="AU37" i="5"/>
  <c r="AN42" i="6"/>
  <c r="BD42" i="6"/>
  <c r="O43" i="6"/>
  <c r="Z43" i="6" s="1"/>
  <c r="AN43" i="6" s="1"/>
  <c r="AE38" i="5"/>
  <c r="S44" i="6" s="1"/>
  <c r="AU44" i="6" s="1"/>
  <c r="AZ42" i="6"/>
  <c r="BH41" i="6"/>
  <c r="E10" i="23" s="1"/>
  <c r="I10" i="23"/>
  <c r="BC37" i="5"/>
  <c r="BD37" i="5" s="1"/>
  <c r="AX43" i="6"/>
  <c r="AC43" i="6"/>
  <c r="AE39" i="5"/>
  <c r="R39" i="5"/>
  <c r="S40" i="5" s="1"/>
  <c r="AW37" i="5"/>
  <c r="X38" i="5"/>
  <c r="AS38" i="5"/>
  <c r="BA42" i="6" l="1"/>
  <c r="BF42" i="6"/>
  <c r="BG42" i="6" s="1"/>
  <c r="I11" i="23" s="1"/>
  <c r="P44" i="6"/>
  <c r="AG44" i="6" s="1"/>
  <c r="AL38" i="5"/>
  <c r="BD43" i="6"/>
  <c r="AW43" i="6"/>
  <c r="AZ43" i="6" s="1"/>
  <c r="BF43" i="6" s="1"/>
  <c r="J12" i="23"/>
  <c r="BE43" i="6"/>
  <c r="AQ43" i="6"/>
  <c r="AU38" i="5"/>
  <c r="AV38" i="5"/>
  <c r="BB38" i="5" s="1"/>
  <c r="R40" i="5"/>
  <c r="AE40" i="5"/>
  <c r="AZ38" i="5"/>
  <c r="K44" i="6" s="1"/>
  <c r="AC44" i="6" s="1"/>
  <c r="AQ44" i="6" s="1"/>
  <c r="X39" i="5"/>
  <c r="AS39" i="5"/>
  <c r="AU39" i="5" s="1"/>
  <c r="S45" i="6"/>
  <c r="AU45" i="6" s="1"/>
  <c r="AL39" i="5"/>
  <c r="O44" i="6" l="1"/>
  <c r="Z44" i="6" s="1"/>
  <c r="AN44" i="6" s="1"/>
  <c r="BH42" i="6"/>
  <c r="E11" i="23" s="1"/>
  <c r="AY43" i="6"/>
  <c r="P45" i="6"/>
  <c r="O45" i="6" s="1"/>
  <c r="Z45" i="6" s="1"/>
  <c r="BG43" i="6"/>
  <c r="BC38" i="5"/>
  <c r="BD38" i="5" s="1"/>
  <c r="BA43" i="6"/>
  <c r="AX44" i="6"/>
  <c r="BE44" i="6"/>
  <c r="X40" i="5"/>
  <c r="AS40" i="5"/>
  <c r="AU40" i="5" s="1"/>
  <c r="S41" i="5"/>
  <c r="AZ39" i="5"/>
  <c r="K45" i="6" s="1"/>
  <c r="AW38" i="5"/>
  <c r="AV39" i="5"/>
  <c r="BB39" i="5" s="1"/>
  <c r="S46" i="6"/>
  <c r="AU46" i="6" s="1"/>
  <c r="AL40" i="5"/>
  <c r="AW44" i="6" l="1"/>
  <c r="AZ44" i="6" s="1"/>
  <c r="BF44" i="6" s="1"/>
  <c r="AG45" i="6"/>
  <c r="AN45" i="6" s="1"/>
  <c r="P46" i="6"/>
  <c r="AG46" i="6" s="1"/>
  <c r="BH43" i="6"/>
  <c r="E12" i="23" s="1"/>
  <c r="I12" i="23"/>
  <c r="BC39" i="5"/>
  <c r="J13" i="23"/>
  <c r="AW45" i="6"/>
  <c r="AX45" i="6"/>
  <c r="AC45" i="6"/>
  <c r="AQ45" i="6" s="1"/>
  <c r="AZ40" i="5"/>
  <c r="K46" i="6" s="1"/>
  <c r="BD44" i="6"/>
  <c r="AE41" i="5"/>
  <c r="R41" i="5"/>
  <c r="AW39" i="5"/>
  <c r="AV40" i="5"/>
  <c r="BB40" i="5" s="1"/>
  <c r="AY44" i="6" l="1"/>
  <c r="O46" i="6"/>
  <c r="Z46" i="6" s="1"/>
  <c r="AN46" i="6" s="1"/>
  <c r="BG44" i="6"/>
  <c r="J14" i="23"/>
  <c r="BC40" i="5"/>
  <c r="BD39" i="5"/>
  <c r="AY45" i="6"/>
  <c r="AX46" i="6"/>
  <c r="AC46" i="6"/>
  <c r="BE45" i="6"/>
  <c r="BD45" i="6"/>
  <c r="X41" i="5"/>
  <c r="P47" i="6" s="1"/>
  <c r="AS41" i="5"/>
  <c r="S47" i="6"/>
  <c r="AU47" i="6" s="1"/>
  <c r="AL41" i="5"/>
  <c r="AW40" i="5"/>
  <c r="AZ45" i="6"/>
  <c r="BF45" i="6" s="1"/>
  <c r="S42" i="5"/>
  <c r="BA44" i="6"/>
  <c r="BD46" i="6" l="1"/>
  <c r="AW46" i="6"/>
  <c r="AY46" i="6" s="1"/>
  <c r="BH44" i="6"/>
  <c r="E13" i="23" s="1"/>
  <c r="I13" i="23"/>
  <c r="BG45" i="6"/>
  <c r="I14" i="23" s="1"/>
  <c r="J15" i="23"/>
  <c r="BD40" i="5"/>
  <c r="AG47" i="6"/>
  <c r="O47" i="6"/>
  <c r="Z47" i="6" s="1"/>
  <c r="BE46" i="6"/>
  <c r="AQ46" i="6"/>
  <c r="AZ41" i="5"/>
  <c r="K47" i="6" s="1"/>
  <c r="R42" i="5"/>
  <c r="S43" i="5" s="1"/>
  <c r="AE42" i="5"/>
  <c r="AV41" i="5"/>
  <c r="BB41" i="5" s="1"/>
  <c r="AU41" i="5"/>
  <c r="BA45" i="6"/>
  <c r="AZ46" i="6" l="1"/>
  <c r="BH45" i="6"/>
  <c r="E14" i="23" s="1"/>
  <c r="BC41" i="5"/>
  <c r="BD41" i="5" s="1"/>
  <c r="AW47" i="6"/>
  <c r="AN47" i="6"/>
  <c r="AC47" i="6"/>
  <c r="BD47" i="6" s="1"/>
  <c r="AX47" i="6"/>
  <c r="S48" i="6"/>
  <c r="AU48" i="6" s="1"/>
  <c r="AL42" i="5"/>
  <c r="AW41" i="5"/>
  <c r="X42" i="5"/>
  <c r="AZ42" i="5" s="1"/>
  <c r="K48" i="6" s="1"/>
  <c r="AC48" i="6" s="1"/>
  <c r="AQ48" i="6" s="1"/>
  <c r="AS42" i="5"/>
  <c r="R43" i="5"/>
  <c r="S44" i="5" s="1"/>
  <c r="AE43" i="5"/>
  <c r="BF46" i="6" l="1"/>
  <c r="BG46" i="6" s="1"/>
  <c r="BA46" i="6"/>
  <c r="J16" i="23"/>
  <c r="AY47" i="6"/>
  <c r="P48" i="6"/>
  <c r="AG48" i="6" s="1"/>
  <c r="BE47" i="6"/>
  <c r="AQ47" i="6"/>
  <c r="AE44" i="5"/>
  <c r="R44" i="5"/>
  <c r="S45" i="5" s="1"/>
  <c r="AX48" i="6"/>
  <c r="BE48" i="6"/>
  <c r="S49" i="6"/>
  <c r="AU49" i="6" s="1"/>
  <c r="AL43" i="5"/>
  <c r="AU42" i="5"/>
  <c r="AV42" i="5"/>
  <c r="BB42" i="5" s="1"/>
  <c r="X43" i="5"/>
  <c r="AZ43" i="5" s="1"/>
  <c r="K49" i="6" s="1"/>
  <c r="AC49" i="6" s="1"/>
  <c r="AQ49" i="6" s="1"/>
  <c r="AS43" i="5"/>
  <c r="AZ47" i="6"/>
  <c r="BF47" i="6" s="1"/>
  <c r="I15" i="23" l="1"/>
  <c r="BH46" i="6"/>
  <c r="E15" i="23" s="1"/>
  <c r="BG47" i="6"/>
  <c r="BC42" i="5"/>
  <c r="BD42" i="5" s="1"/>
  <c r="O48" i="6"/>
  <c r="Z48" i="6" s="1"/>
  <c r="AN48" i="6" s="1"/>
  <c r="P49" i="6"/>
  <c r="AX49" i="6"/>
  <c r="BE49" i="6"/>
  <c r="AW42" i="5"/>
  <c r="R45" i="5"/>
  <c r="AE45" i="5"/>
  <c r="AU43" i="5"/>
  <c r="AV43" i="5"/>
  <c r="BB43" i="5" s="1"/>
  <c r="X44" i="5"/>
  <c r="AZ44" i="5" s="1"/>
  <c r="K50" i="6" s="1"/>
  <c r="AS44" i="5"/>
  <c r="BA47" i="6"/>
  <c r="S50" i="6"/>
  <c r="AU50" i="6" s="1"/>
  <c r="AL44" i="5"/>
  <c r="BH47" i="6" l="1"/>
  <c r="E16" i="23" s="1"/>
  <c r="I16" i="23"/>
  <c r="AW48" i="6"/>
  <c r="AY48" i="6" s="1"/>
  <c r="BC43" i="5"/>
  <c r="J17" i="23"/>
  <c r="BD48" i="6"/>
  <c r="P50" i="6"/>
  <c r="AG49" i="6"/>
  <c r="O49" i="6"/>
  <c r="AX50" i="6"/>
  <c r="AC50" i="6"/>
  <c r="AQ50" i="6" s="1"/>
  <c r="AU44" i="5"/>
  <c r="AV44" i="5"/>
  <c r="BB44" i="5" s="1"/>
  <c r="AW43" i="5"/>
  <c r="S51" i="6"/>
  <c r="AU51" i="6" s="1"/>
  <c r="AL45" i="5"/>
  <c r="X45" i="5"/>
  <c r="AS45" i="5"/>
  <c r="AV45" i="5" s="1"/>
  <c r="S46" i="5"/>
  <c r="BB45" i="5" l="1"/>
  <c r="AZ48" i="6"/>
  <c r="J18" i="23"/>
  <c r="BC44" i="5"/>
  <c r="BD43" i="5"/>
  <c r="BE50" i="6"/>
  <c r="P51" i="6"/>
  <c r="O51" i="6" s="1"/>
  <c r="Z51" i="6" s="1"/>
  <c r="Z49" i="6"/>
  <c r="AW49" i="6"/>
  <c r="AY49" i="6" s="1"/>
  <c r="O50" i="6"/>
  <c r="Z50" i="6" s="1"/>
  <c r="AG50" i="6"/>
  <c r="R46" i="5"/>
  <c r="AE46" i="5"/>
  <c r="AU45" i="5"/>
  <c r="AW44" i="5"/>
  <c r="AZ45" i="5"/>
  <c r="K51" i="6" s="1"/>
  <c r="AC51" i="6" s="1"/>
  <c r="AQ51" i="6" s="1"/>
  <c r="AW45" i="5"/>
  <c r="BA48" i="6" l="1"/>
  <c r="BF48" i="6"/>
  <c r="BG48" i="6" s="1"/>
  <c r="J19" i="23"/>
  <c r="BC45" i="5"/>
  <c r="BD44" i="5"/>
  <c r="BD50" i="6"/>
  <c r="AZ49" i="6"/>
  <c r="BF49" i="6" s="1"/>
  <c r="AG51" i="6"/>
  <c r="AN51" i="6" s="1"/>
  <c r="AW50" i="6"/>
  <c r="AY50" i="6" s="1"/>
  <c r="AN50" i="6"/>
  <c r="AN49" i="6"/>
  <c r="BD49" i="6"/>
  <c r="X46" i="5"/>
  <c r="P52" i="6" s="1"/>
  <c r="AS46" i="5"/>
  <c r="S47" i="5"/>
  <c r="AX51" i="6"/>
  <c r="BE51" i="6"/>
  <c r="AW51" i="6"/>
  <c r="S52" i="6"/>
  <c r="AU52" i="6" s="1"/>
  <c r="AL46" i="5"/>
  <c r="BH48" i="6" l="1"/>
  <c r="E17" i="23" s="1"/>
  <c r="I17" i="23"/>
  <c r="BG49" i="6"/>
  <c r="J20" i="23"/>
  <c r="BD45" i="5"/>
  <c r="BA49" i="6"/>
  <c r="AZ50" i="6"/>
  <c r="BF50" i="6" s="1"/>
  <c r="O52" i="6"/>
  <c r="Z52" i="6" s="1"/>
  <c r="AG52" i="6"/>
  <c r="BD51" i="6"/>
  <c r="AE47" i="5"/>
  <c r="R47" i="5"/>
  <c r="S48" i="5" s="1"/>
  <c r="AZ51" i="6"/>
  <c r="AY51" i="6"/>
  <c r="AZ46" i="5"/>
  <c r="K52" i="6" s="1"/>
  <c r="AC52" i="6" s="1"/>
  <c r="AQ52" i="6" s="1"/>
  <c r="AU46" i="5"/>
  <c r="AV46" i="5"/>
  <c r="BB46" i="5" s="1"/>
  <c r="BF51" i="6" l="1"/>
  <c r="BH49" i="6"/>
  <c r="E18" i="23" s="1"/>
  <c r="I18" i="23"/>
  <c r="BG50" i="6"/>
  <c r="I19" i="23" s="1"/>
  <c r="BC46" i="5"/>
  <c r="BD46" i="5" s="1"/>
  <c r="BA50" i="6"/>
  <c r="AN52" i="6"/>
  <c r="AW52" i="6"/>
  <c r="R48" i="5"/>
  <c r="S49" i="5" s="1"/>
  <c r="AE48" i="5"/>
  <c r="AW46" i="5"/>
  <c r="AX52" i="6"/>
  <c r="BE52" i="6"/>
  <c r="X47" i="5"/>
  <c r="AZ47" i="5" s="1"/>
  <c r="K53" i="6" s="1"/>
  <c r="AS47" i="5"/>
  <c r="BA51" i="6"/>
  <c r="S53" i="6"/>
  <c r="AU53" i="6" s="1"/>
  <c r="AL47" i="5"/>
  <c r="BG51" i="6" l="1"/>
  <c r="I20" i="23" s="1"/>
  <c r="BH50" i="6"/>
  <c r="E19" i="23" s="1"/>
  <c r="J21" i="23"/>
  <c r="P53" i="6"/>
  <c r="AC53" i="6"/>
  <c r="S54" i="6"/>
  <c r="AU54" i="6" s="1"/>
  <c r="AL48" i="5"/>
  <c r="AU47" i="5"/>
  <c r="AV47" i="5"/>
  <c r="BB47" i="5" s="1"/>
  <c r="X48" i="5"/>
  <c r="AZ48" i="5" s="1"/>
  <c r="K54" i="6" s="1"/>
  <c r="AC54" i="6" s="1"/>
  <c r="AQ54" i="6" s="1"/>
  <c r="AS48" i="5"/>
  <c r="AU48" i="5" s="1"/>
  <c r="AX53" i="6"/>
  <c r="R49" i="5"/>
  <c r="AE49" i="5"/>
  <c r="AY52" i="6"/>
  <c r="AZ52" i="6"/>
  <c r="BF52" i="6" s="1"/>
  <c r="BD52" i="6"/>
  <c r="BG52" i="6" l="1"/>
  <c r="I21" i="23" s="1"/>
  <c r="BH51" i="6"/>
  <c r="E20" i="23" s="1"/>
  <c r="BC47" i="5"/>
  <c r="BD47" i="5" s="1"/>
  <c r="P54" i="6"/>
  <c r="O54" i="6" s="1"/>
  <c r="Z54" i="6" s="1"/>
  <c r="O53" i="6"/>
  <c r="Z53" i="6" s="1"/>
  <c r="AG53" i="6"/>
  <c r="BE53" i="6"/>
  <c r="AQ53" i="6"/>
  <c r="AV48" i="5"/>
  <c r="BB48" i="5" s="1"/>
  <c r="AX54" i="6"/>
  <c r="BE54" i="6"/>
  <c r="S55" i="6"/>
  <c r="AU55" i="6" s="1"/>
  <c r="AL49" i="5"/>
  <c r="BA52" i="6"/>
  <c r="AW47" i="5"/>
  <c r="X49" i="5"/>
  <c r="AZ49" i="5" s="1"/>
  <c r="K55" i="6" s="1"/>
  <c r="AC55" i="6" s="1"/>
  <c r="AQ55" i="6" s="1"/>
  <c r="AS49" i="5"/>
  <c r="AV49" i="5" s="1"/>
  <c r="S50" i="5"/>
  <c r="BB49" i="5" l="1"/>
  <c r="BH52" i="6"/>
  <c r="E21" i="23" s="1"/>
  <c r="BC48" i="5"/>
  <c r="J22" i="23"/>
  <c r="AG54" i="6"/>
  <c r="AN54" i="6" s="1"/>
  <c r="AN53" i="6"/>
  <c r="P55" i="6"/>
  <c r="BD53" i="6"/>
  <c r="AW53" i="6"/>
  <c r="AY53" i="6" s="1"/>
  <c r="AW48" i="5"/>
  <c r="AW54" i="6"/>
  <c r="AY54" i="6" s="1"/>
  <c r="AX55" i="6"/>
  <c r="BE55" i="6"/>
  <c r="AE50" i="5"/>
  <c r="R50" i="5"/>
  <c r="S51" i="5" s="1"/>
  <c r="AW49" i="5"/>
  <c r="AU49" i="5"/>
  <c r="J23" i="23" l="1"/>
  <c r="BC49" i="5"/>
  <c r="BD48" i="5"/>
  <c r="BD54" i="6"/>
  <c r="AZ54" i="6"/>
  <c r="AZ53" i="6"/>
  <c r="BF53" i="6" s="1"/>
  <c r="AG55" i="6"/>
  <c r="O55" i="6"/>
  <c r="Z55" i="6" s="1"/>
  <c r="R51" i="5"/>
  <c r="S52" i="5" s="1"/>
  <c r="S54" i="5" s="1"/>
  <c r="AE51" i="5"/>
  <c r="X50" i="5"/>
  <c r="P56" i="6" s="1"/>
  <c r="AS50" i="5"/>
  <c r="S56" i="6"/>
  <c r="AU56" i="6" s="1"/>
  <c r="AL50" i="5"/>
  <c r="BF54" i="6" l="1"/>
  <c r="BG53" i="6"/>
  <c r="I22" i="23" s="1"/>
  <c r="J24" i="23"/>
  <c r="BD49" i="5"/>
  <c r="BA54" i="6"/>
  <c r="BD55" i="6"/>
  <c r="BA53" i="6"/>
  <c r="AN55" i="6"/>
  <c r="AG56" i="6"/>
  <c r="O56" i="6"/>
  <c r="Z56" i="6" s="1"/>
  <c r="AW55" i="6"/>
  <c r="AY55" i="6" s="1"/>
  <c r="AZ50" i="5"/>
  <c r="K56" i="6" s="1"/>
  <c r="AU50" i="5"/>
  <c r="AV50" i="5"/>
  <c r="BB50" i="5" s="1"/>
  <c r="S57" i="6"/>
  <c r="AU57" i="6" s="1"/>
  <c r="AL51" i="5"/>
  <c r="X51" i="5"/>
  <c r="P57" i="6" s="1"/>
  <c r="AS51" i="5"/>
  <c r="AU51" i="5" s="1"/>
  <c r="AE52" i="5"/>
  <c r="R52" i="5"/>
  <c r="BG54" i="6" l="1"/>
  <c r="BH53" i="6"/>
  <c r="E22" i="23" s="1"/>
  <c r="BC50" i="5"/>
  <c r="BD50" i="5" s="1"/>
  <c r="AN56" i="6"/>
  <c r="AG57" i="6"/>
  <c r="O57" i="6"/>
  <c r="Z57" i="6" s="1"/>
  <c r="AZ55" i="6"/>
  <c r="BF55" i="6" s="1"/>
  <c r="AC56" i="6"/>
  <c r="AQ56" i="6" s="1"/>
  <c r="AW56" i="6"/>
  <c r="AX56" i="6"/>
  <c r="AZ51" i="5"/>
  <c r="K57" i="6" s="1"/>
  <c r="S58" i="6"/>
  <c r="AL52" i="5"/>
  <c r="AW50" i="5"/>
  <c r="X52" i="5"/>
  <c r="P58" i="6" s="1"/>
  <c r="AS52" i="5"/>
  <c r="C21" i="5" s="1"/>
  <c r="R54" i="5"/>
  <c r="AV51" i="5"/>
  <c r="BB51" i="5" s="1"/>
  <c r="BH54" i="6" l="1"/>
  <c r="E23" i="23" s="1"/>
  <c r="I23" i="23"/>
  <c r="BG55" i="6"/>
  <c r="C17" i="5"/>
  <c r="BA55" i="6"/>
  <c r="BC51" i="5"/>
  <c r="J25" i="23"/>
  <c r="AU52" i="5"/>
  <c r="C22" i="5" s="1"/>
  <c r="F28" i="20"/>
  <c r="AW57" i="6"/>
  <c r="BE56" i="6"/>
  <c r="AN57" i="6"/>
  <c r="O58" i="6"/>
  <c r="O60" i="6" s="1"/>
  <c r="P60" i="6"/>
  <c r="AG58" i="6"/>
  <c r="AZ52" i="5"/>
  <c r="K58" i="6" s="1"/>
  <c r="AC58" i="6" s="1"/>
  <c r="AQ58" i="6" s="1"/>
  <c r="AX57" i="6"/>
  <c r="AC57" i="6"/>
  <c r="AQ57" i="6" s="1"/>
  <c r="AY56" i="6"/>
  <c r="BD56" i="6"/>
  <c r="AS54" i="5"/>
  <c r="AW51" i="5"/>
  <c r="AV52" i="5"/>
  <c r="BB52" i="5" s="1"/>
  <c r="AU58" i="6"/>
  <c r="S60" i="6"/>
  <c r="AZ56" i="6"/>
  <c r="BF56" i="6" s="1"/>
  <c r="BH55" i="6" l="1"/>
  <c r="E24" i="23" s="1"/>
  <c r="I24" i="23"/>
  <c r="BG56" i="6"/>
  <c r="AY57" i="6"/>
  <c r="D28" i="6"/>
  <c r="D24" i="6" s="1"/>
  <c r="C18" i="5"/>
  <c r="J26" i="23"/>
  <c r="BC52" i="5"/>
  <c r="BD51" i="5"/>
  <c r="AU54" i="5"/>
  <c r="Z58" i="6"/>
  <c r="AN58" i="6" s="1"/>
  <c r="BD57" i="6"/>
  <c r="BE58" i="6"/>
  <c r="K60" i="6"/>
  <c r="AZ57" i="6"/>
  <c r="BF57" i="6" s="1"/>
  <c r="AX58" i="6"/>
  <c r="BE57" i="6"/>
  <c r="BA56" i="6"/>
  <c r="AU60" i="6"/>
  <c r="AW52" i="5"/>
  <c r="AW58" i="6"/>
  <c r="BH56" i="6" l="1"/>
  <c r="E25" i="23" s="1"/>
  <c r="I25" i="23"/>
  <c r="BG57" i="6"/>
  <c r="I26" i="23" s="1"/>
  <c r="E28" i="6"/>
  <c r="E27" i="6"/>
  <c r="E23" i="6" s="1"/>
  <c r="C27" i="6"/>
  <c r="C23" i="6" s="1"/>
  <c r="C28" i="6"/>
  <c r="C24" i="6" s="1"/>
  <c r="G28" i="20"/>
  <c r="BD52" i="5"/>
  <c r="J27" i="23"/>
  <c r="BD58" i="6"/>
  <c r="AX60" i="6"/>
  <c r="BA57" i="6"/>
  <c r="AW60" i="6"/>
  <c r="AZ58" i="6"/>
  <c r="BF58" i="6" s="1"/>
  <c r="AY58" i="6"/>
  <c r="J28" i="23" l="1"/>
  <c r="BG58" i="6"/>
  <c r="C29" i="6"/>
  <c r="D29" i="6" s="1"/>
  <c r="D25" i="6" s="1"/>
  <c r="E24" i="6"/>
  <c r="BH57" i="6"/>
  <c r="E26" i="23" s="1"/>
  <c r="F29" i="20"/>
  <c r="E29" i="20"/>
  <c r="BA58" i="6"/>
  <c r="BH58" i="6" l="1"/>
  <c r="E27" i="23" s="1"/>
  <c r="I27" i="23"/>
  <c r="E29" i="6"/>
  <c r="E25" i="6" s="1"/>
  <c r="G29" i="20"/>
  <c r="C25" i="6"/>
  <c r="I28" i="23" l="1"/>
  <c r="E28" i="23"/>
  <c r="M36" i="20"/>
  <c r="E29" i="23" l="1"/>
  <c r="G34" i="2" l="1"/>
  <c r="W34" i="2" l="1"/>
  <c r="V34" i="2"/>
  <c r="I34" i="2"/>
  <c r="Y34" i="2"/>
  <c r="X34" i="2"/>
  <c r="J34" i="2"/>
  <c r="H34" i="2"/>
  <c r="S34" i="2" s="1"/>
  <c r="E35" i="2"/>
  <c r="G35" i="2" s="1"/>
  <c r="J35" i="2" l="1"/>
  <c r="U35" i="2" s="1"/>
  <c r="H35" i="2"/>
  <c r="Z35" i="2" s="1"/>
  <c r="V35" i="2"/>
  <c r="Y35" i="2"/>
  <c r="X35" i="2"/>
  <c r="I35" i="2"/>
  <c r="M35" i="2" s="1"/>
  <c r="W35" i="2"/>
  <c r="E36" i="2"/>
  <c r="AB34" i="2"/>
  <c r="AO34" i="2"/>
  <c r="R34" i="2"/>
  <c r="Q34" i="2" s="1"/>
  <c r="AA34" i="2"/>
  <c r="M34" i="2"/>
  <c r="T34" i="2"/>
  <c r="L34" i="2"/>
  <c r="Z34" i="2"/>
  <c r="P34" i="2"/>
  <c r="K34" i="2"/>
  <c r="AH34" i="2"/>
  <c r="U34" i="2"/>
  <c r="AB35" i="2" l="1"/>
  <c r="AO35" i="2"/>
  <c r="S35" i="2"/>
  <c r="K35" i="2"/>
  <c r="AC35" i="2" s="1"/>
  <c r="L35" i="2"/>
  <c r="AD35" i="2" s="1"/>
  <c r="AH35" i="2"/>
  <c r="T35" i="2"/>
  <c r="AA35" i="2"/>
  <c r="R35" i="2"/>
  <c r="Q35" i="2" s="1"/>
  <c r="AC34" i="2"/>
  <c r="AK34" i="2"/>
  <c r="AK35" i="2"/>
  <c r="O34" i="2"/>
  <c r="AJ34" i="2" s="1"/>
  <c r="P35" i="2"/>
  <c r="AE34" i="2"/>
  <c r="AE35" i="2"/>
  <c r="AG34" i="2"/>
  <c r="AD34" i="2"/>
  <c r="AG35" i="2" l="1"/>
  <c r="AI35" i="2" s="1"/>
  <c r="AI34" i="2"/>
  <c r="AL34" i="2"/>
  <c r="G36" i="2"/>
  <c r="AP34" i="2"/>
  <c r="AQ34" i="2" s="1"/>
  <c r="O35" i="2"/>
  <c r="AJ35" i="2" s="1"/>
  <c r="AL35" i="2" s="1"/>
  <c r="AM34" i="2"/>
  <c r="AP35" i="2"/>
  <c r="AQ35" i="2" s="1"/>
  <c r="J36" i="2" l="1"/>
  <c r="H36" i="2"/>
  <c r="S36" i="2" s="1"/>
  <c r="V36" i="2"/>
  <c r="W36" i="2"/>
  <c r="Y36" i="2"/>
  <c r="X36" i="2"/>
  <c r="E37" i="2"/>
  <c r="I36" i="2"/>
  <c r="AM35" i="2"/>
  <c r="AN35" i="2" s="1"/>
  <c r="AR35" i="2" s="1"/>
  <c r="B4" i="26" s="1"/>
  <c r="G3" i="23" s="1"/>
  <c r="H2" i="23"/>
  <c r="AN34" i="2"/>
  <c r="AR34" i="2" s="1"/>
  <c r="B3" i="26" s="1"/>
  <c r="C3" i="26" s="1"/>
  <c r="M36" i="2" l="1"/>
  <c r="AA36" i="2"/>
  <c r="R36" i="2"/>
  <c r="Q36" i="2" s="1"/>
  <c r="G37" i="2"/>
  <c r="T36" i="2"/>
  <c r="AH36" i="2"/>
  <c r="Z36" i="2"/>
  <c r="L36" i="2"/>
  <c r="K36" i="2"/>
  <c r="P36" i="2"/>
  <c r="O36" i="2" s="1"/>
  <c r="U36" i="2"/>
  <c r="AB36" i="2"/>
  <c r="AO36" i="2"/>
  <c r="H3" i="23"/>
  <c r="F3" i="23" s="1"/>
  <c r="AS34" i="2"/>
  <c r="G2" i="23"/>
  <c r="F2" i="23" s="1"/>
  <c r="C4" i="26"/>
  <c r="AS35" i="2"/>
  <c r="AG36" i="2" l="1"/>
  <c r="H37" i="2"/>
  <c r="X37" i="2"/>
  <c r="W37" i="2"/>
  <c r="I37" i="2"/>
  <c r="T37" i="2" s="1"/>
  <c r="V37" i="2"/>
  <c r="Y37" i="2"/>
  <c r="J37" i="2"/>
  <c r="E38" i="2"/>
  <c r="AD36" i="2"/>
  <c r="AE36" i="2"/>
  <c r="AJ36" i="2"/>
  <c r="AK36" i="2"/>
  <c r="AC36" i="2"/>
  <c r="R3" i="23"/>
  <c r="S3" i="23"/>
  <c r="T3" i="23"/>
  <c r="Q3" i="23"/>
  <c r="P3" i="23"/>
  <c r="U3" i="23"/>
  <c r="T2" i="23"/>
  <c r="P2" i="23"/>
  <c r="R2" i="23"/>
  <c r="S2" i="23"/>
  <c r="U2" i="23"/>
  <c r="Q2" i="23"/>
  <c r="AI36" i="2" l="1"/>
  <c r="AL36" i="2"/>
  <c r="AP36" i="2"/>
  <c r="AQ36" i="2" s="1"/>
  <c r="AM36" i="2"/>
  <c r="AN36" i="2" s="1"/>
  <c r="U37" i="2"/>
  <c r="AO37" i="2"/>
  <c r="AB37" i="2"/>
  <c r="AH37" i="2"/>
  <c r="M37" i="2"/>
  <c r="R37" i="2"/>
  <c r="Q37" i="2" s="1"/>
  <c r="AA37" i="2"/>
  <c r="S37" i="2"/>
  <c r="L37" i="2"/>
  <c r="K37" i="2"/>
  <c r="P37" i="2"/>
  <c r="O37" i="2" s="1"/>
  <c r="Z37" i="2"/>
  <c r="G38" i="2"/>
  <c r="AG37" i="2" l="1"/>
  <c r="H4" i="23"/>
  <c r="H38" i="2"/>
  <c r="S38" i="2" s="1"/>
  <c r="X38" i="2"/>
  <c r="I38" i="2"/>
  <c r="T38" i="2" s="1"/>
  <c r="Y38" i="2"/>
  <c r="J38" i="2"/>
  <c r="W38" i="2"/>
  <c r="V38" i="2"/>
  <c r="E39" i="2"/>
  <c r="AJ37" i="2"/>
  <c r="AD37" i="2"/>
  <c r="AK37" i="2"/>
  <c r="AC37" i="2"/>
  <c r="AE37" i="2"/>
  <c r="AR36" i="2"/>
  <c r="B5" i="26" s="1"/>
  <c r="AI37" i="2" l="1"/>
  <c r="AL37" i="2"/>
  <c r="AP37" i="2"/>
  <c r="AQ37" i="2" s="1"/>
  <c r="AH38" i="2"/>
  <c r="AS36" i="2"/>
  <c r="U38" i="2"/>
  <c r="AG38" i="2" s="1"/>
  <c r="AB38" i="2"/>
  <c r="AO38" i="2"/>
  <c r="AM37" i="2"/>
  <c r="M38" i="2"/>
  <c r="R38" i="2"/>
  <c r="Q38" i="2" s="1"/>
  <c r="AA38" i="2"/>
  <c r="Z38" i="2"/>
  <c r="L38" i="2"/>
  <c r="K38" i="2"/>
  <c r="P38" i="2"/>
  <c r="O38" i="2" s="1"/>
  <c r="G4" i="23"/>
  <c r="F4" i="23" s="1"/>
  <c r="C5" i="26"/>
  <c r="G39" i="2"/>
  <c r="AI38" i="2" l="1"/>
  <c r="AJ38" i="2"/>
  <c r="E40" i="2"/>
  <c r="V39" i="2"/>
  <c r="H39" i="2"/>
  <c r="J39" i="2"/>
  <c r="Y39" i="2"/>
  <c r="X39" i="2"/>
  <c r="I39" i="2"/>
  <c r="T39" i="2" s="1"/>
  <c r="W39" i="2"/>
  <c r="AK38" i="2"/>
  <c r="AC38" i="2"/>
  <c r="AD38" i="2"/>
  <c r="U4" i="23"/>
  <c r="Q4" i="23"/>
  <c r="R4" i="23"/>
  <c r="P4" i="23"/>
  <c r="S4" i="23"/>
  <c r="T4" i="23"/>
  <c r="AE38" i="2"/>
  <c r="AN37" i="2"/>
  <c r="H5" i="23"/>
  <c r="AL38" i="2" l="1"/>
  <c r="AP38" i="2"/>
  <c r="AQ38" i="2" s="1"/>
  <c r="M39" i="2"/>
  <c r="R39" i="2"/>
  <c r="Q39" i="2" s="1"/>
  <c r="AA39" i="2"/>
  <c r="AM38" i="2"/>
  <c r="U39" i="2"/>
  <c r="AB39" i="2"/>
  <c r="AO39" i="2"/>
  <c r="AR37" i="2"/>
  <c r="B6" i="26" s="1"/>
  <c r="S39" i="2"/>
  <c r="AG39" i="2" s="1"/>
  <c r="K39" i="2"/>
  <c r="L39" i="2"/>
  <c r="P39" i="2"/>
  <c r="O39" i="2" s="1"/>
  <c r="Z39" i="2"/>
  <c r="AH39" i="2"/>
  <c r="G40" i="2"/>
  <c r="AI39" i="2" l="1"/>
  <c r="AK39" i="2"/>
  <c r="AC39" i="2"/>
  <c r="AS37" i="2"/>
  <c r="AN38" i="2"/>
  <c r="H6" i="23"/>
  <c r="X40" i="2"/>
  <c r="I40" i="2"/>
  <c r="Y40" i="2"/>
  <c r="J40" i="2"/>
  <c r="W40" i="2"/>
  <c r="H40" i="2"/>
  <c r="V40" i="2"/>
  <c r="E41" i="2"/>
  <c r="C6" i="26"/>
  <c r="G5" i="23"/>
  <c r="F5" i="23" s="1"/>
  <c r="AE39" i="2"/>
  <c r="AJ39" i="2"/>
  <c r="AL39" i="2" s="1"/>
  <c r="AD39" i="2"/>
  <c r="AP39" i="2" l="1"/>
  <c r="AQ39" i="2" s="1"/>
  <c r="AH40" i="2"/>
  <c r="R5" i="23"/>
  <c r="T5" i="23"/>
  <c r="Q5" i="23"/>
  <c r="S5" i="23"/>
  <c r="P5" i="23"/>
  <c r="U5" i="23"/>
  <c r="L40" i="2"/>
  <c r="K40" i="2"/>
  <c r="P40" i="2"/>
  <c r="O40" i="2" s="1"/>
  <c r="Z40" i="2"/>
  <c r="G41" i="2"/>
  <c r="M40" i="2"/>
  <c r="R40" i="2"/>
  <c r="Q40" i="2" s="1"/>
  <c r="AA40" i="2"/>
  <c r="AM39" i="2"/>
  <c r="U40" i="2"/>
  <c r="AB40" i="2"/>
  <c r="AO40" i="2"/>
  <c r="AR38" i="2"/>
  <c r="B7" i="26" s="1"/>
  <c r="S40" i="2"/>
  <c r="T40" i="2"/>
  <c r="AJ40" i="2" l="1"/>
  <c r="I41" i="2"/>
  <c r="H41" i="2"/>
  <c r="J41" i="2"/>
  <c r="U41" i="2" s="1"/>
  <c r="V41" i="2"/>
  <c r="X41" i="2"/>
  <c r="Y41" i="2"/>
  <c r="W41" i="2"/>
  <c r="E42" i="2"/>
  <c r="AK40" i="2"/>
  <c r="AC40" i="2"/>
  <c r="AE40" i="2"/>
  <c r="AD40" i="2"/>
  <c r="AS38" i="2"/>
  <c r="G6" i="23"/>
  <c r="F6" i="23" s="1"/>
  <c r="C7" i="26"/>
  <c r="H7" i="23"/>
  <c r="AN39" i="2"/>
  <c r="AG40" i="2"/>
  <c r="AL40" i="2" l="1"/>
  <c r="AI40" i="2"/>
  <c r="AP40" i="2"/>
  <c r="AQ40" i="2" s="1"/>
  <c r="AH41" i="2"/>
  <c r="G42" i="2"/>
  <c r="AO41" i="2"/>
  <c r="AB41" i="2"/>
  <c r="S41" i="2"/>
  <c r="L41" i="2"/>
  <c r="K41" i="2"/>
  <c r="P41" i="2"/>
  <c r="O41" i="2" s="1"/>
  <c r="Z41" i="2"/>
  <c r="P6" i="23"/>
  <c r="R6" i="23"/>
  <c r="Q6" i="23"/>
  <c r="S6" i="23"/>
  <c r="U6" i="23"/>
  <c r="T6" i="23"/>
  <c r="AM40" i="2"/>
  <c r="AR39" i="2"/>
  <c r="B8" i="26" s="1"/>
  <c r="T41" i="2"/>
  <c r="M41" i="2"/>
  <c r="R41" i="2"/>
  <c r="Q41" i="2" s="1"/>
  <c r="AA41" i="2"/>
  <c r="AJ41" i="2" l="1"/>
  <c r="AG41" i="2"/>
  <c r="I42" i="2"/>
  <c r="T42" i="2" s="1"/>
  <c r="Y42" i="2"/>
  <c r="V42" i="2"/>
  <c r="X42" i="2"/>
  <c r="J42" i="2"/>
  <c r="U42" i="2" s="1"/>
  <c r="W42" i="2"/>
  <c r="H42" i="2"/>
  <c r="S42" i="2" s="1"/>
  <c r="E43" i="2"/>
  <c r="AE41" i="2"/>
  <c r="AS39" i="2"/>
  <c r="AK41" i="2"/>
  <c r="AC41" i="2"/>
  <c r="AD41" i="2"/>
  <c r="C8" i="26"/>
  <c r="G7" i="23"/>
  <c r="F7" i="23" s="1"/>
  <c r="H8" i="23"/>
  <c r="AN40" i="2"/>
  <c r="AI41" i="2" l="1"/>
  <c r="AL41" i="2"/>
  <c r="AH42" i="2"/>
  <c r="AR40" i="2"/>
  <c r="B9" i="26" s="1"/>
  <c r="M42" i="2"/>
  <c r="R42" i="2"/>
  <c r="Q42" i="2" s="1"/>
  <c r="AA42" i="2"/>
  <c r="P7" i="23"/>
  <c r="R7" i="23"/>
  <c r="S7" i="23"/>
  <c r="T7" i="23"/>
  <c r="U7" i="23"/>
  <c r="Q7" i="23"/>
  <c r="AM41" i="2"/>
  <c r="G43" i="2"/>
  <c r="AG42" i="2"/>
  <c r="L42" i="2"/>
  <c r="K42" i="2"/>
  <c r="P42" i="2"/>
  <c r="O42" i="2" s="1"/>
  <c r="Z42" i="2"/>
  <c r="AP41" i="2"/>
  <c r="AQ41" i="2" s="1"/>
  <c r="AB42" i="2"/>
  <c r="AO42" i="2"/>
  <c r="AI42" i="2" l="1"/>
  <c r="Y43" i="2"/>
  <c r="I43" i="2"/>
  <c r="T43" i="2" s="1"/>
  <c r="H43" i="2"/>
  <c r="S43" i="2" s="1"/>
  <c r="J43" i="2"/>
  <c r="U43" i="2" s="1"/>
  <c r="V43" i="2"/>
  <c r="X43" i="2"/>
  <c r="W43" i="2"/>
  <c r="E44" i="2"/>
  <c r="AN41" i="2"/>
  <c r="H9" i="23"/>
  <c r="AE42" i="2"/>
  <c r="AS40" i="2"/>
  <c r="C9" i="26"/>
  <c r="G8" i="23"/>
  <c r="F8" i="23" s="1"/>
  <c r="AJ42" i="2"/>
  <c r="AK42" i="2"/>
  <c r="AC42" i="2"/>
  <c r="AD42" i="2"/>
  <c r="AL42" i="2" l="1"/>
  <c r="AP42" i="2"/>
  <c r="AQ42" i="2" s="1"/>
  <c r="AG43" i="2"/>
  <c r="G44" i="2"/>
  <c r="AH43" i="2"/>
  <c r="AR41" i="2"/>
  <c r="B10" i="26" s="1"/>
  <c r="AB43" i="2"/>
  <c r="AO43" i="2"/>
  <c r="L43" i="2"/>
  <c r="K43" i="2"/>
  <c r="P43" i="2"/>
  <c r="O43" i="2" s="1"/>
  <c r="Z43" i="2"/>
  <c r="AA43" i="2"/>
  <c r="R43" i="2"/>
  <c r="Q43" i="2" s="1"/>
  <c r="M43" i="2"/>
  <c r="AM42" i="2"/>
  <c r="P8" i="23"/>
  <c r="Q8" i="23"/>
  <c r="R8" i="23"/>
  <c r="T8" i="23"/>
  <c r="S8" i="23"/>
  <c r="U8" i="23"/>
  <c r="AI43" i="2" l="1"/>
  <c r="W44" i="2"/>
  <c r="X44" i="2"/>
  <c r="H44" i="2"/>
  <c r="S44" i="2" s="1"/>
  <c r="J44" i="2"/>
  <c r="Y44" i="2"/>
  <c r="I44" i="2"/>
  <c r="T44" i="2" s="1"/>
  <c r="V44" i="2"/>
  <c r="AH44" i="2" s="1"/>
  <c r="U44" i="2"/>
  <c r="E45" i="2"/>
  <c r="AS41" i="2"/>
  <c r="C10" i="26"/>
  <c r="G9" i="23"/>
  <c r="F9" i="23" s="1"/>
  <c r="AN42" i="2"/>
  <c r="H10" i="23"/>
  <c r="AK43" i="2"/>
  <c r="AC43" i="2"/>
  <c r="AE43" i="2"/>
  <c r="AJ43" i="2"/>
  <c r="AL43" i="2" s="1"/>
  <c r="AD43" i="2"/>
  <c r="AM43" i="2" l="1"/>
  <c r="H11" i="23" s="1"/>
  <c r="U9" i="23"/>
  <c r="P9" i="23"/>
  <c r="T9" i="23"/>
  <c r="Q9" i="23"/>
  <c r="S9" i="23"/>
  <c r="R9" i="23"/>
  <c r="AG44" i="2"/>
  <c r="R44" i="2"/>
  <c r="Q44" i="2" s="1"/>
  <c r="M44" i="2"/>
  <c r="AA44" i="2"/>
  <c r="AB44" i="2"/>
  <c r="AO44" i="2"/>
  <c r="K44" i="2"/>
  <c r="L44" i="2"/>
  <c r="P44" i="2"/>
  <c r="O44" i="2" s="1"/>
  <c r="Z44" i="2"/>
  <c r="AP43" i="2"/>
  <c r="AQ43" i="2" s="1"/>
  <c r="AR42" i="2"/>
  <c r="B11" i="26" s="1"/>
  <c r="G45" i="2"/>
  <c r="AI44" i="2" l="1"/>
  <c r="AN43" i="2"/>
  <c r="AR43" i="2" s="1"/>
  <c r="B12" i="26" s="1"/>
  <c r="AJ44" i="2"/>
  <c r="X45" i="2"/>
  <c r="H45" i="2"/>
  <c r="S45" i="2" s="1"/>
  <c r="Y45" i="2"/>
  <c r="J45" i="2"/>
  <c r="U45" i="2" s="1"/>
  <c r="W45" i="2"/>
  <c r="V45" i="2"/>
  <c r="I45" i="2"/>
  <c r="E46" i="2"/>
  <c r="AS42" i="2"/>
  <c r="AE44" i="2"/>
  <c r="AD44" i="2"/>
  <c r="G10" i="23"/>
  <c r="F10" i="23" s="1"/>
  <c r="C11" i="26"/>
  <c r="AC44" i="2"/>
  <c r="AK44" i="2"/>
  <c r="AL44" i="2" l="1"/>
  <c r="AH45" i="2"/>
  <c r="AS43" i="2"/>
  <c r="AP44" i="2"/>
  <c r="AQ44" i="2" s="1"/>
  <c r="Q10" i="23"/>
  <c r="S10" i="23"/>
  <c r="P10" i="23"/>
  <c r="T10" i="23"/>
  <c r="R10" i="23"/>
  <c r="G46" i="2"/>
  <c r="T45" i="2"/>
  <c r="AG45" i="2" s="1"/>
  <c r="M45" i="2"/>
  <c r="AE45" i="2" s="1"/>
  <c r="R45" i="2"/>
  <c r="Q45" i="2" s="1"/>
  <c r="AA45" i="2"/>
  <c r="AM44" i="2"/>
  <c r="AO45" i="2"/>
  <c r="AB45" i="2"/>
  <c r="L45" i="2"/>
  <c r="K45" i="2"/>
  <c r="P45" i="2"/>
  <c r="O45" i="2" s="1"/>
  <c r="Z45" i="2"/>
  <c r="C12" i="26"/>
  <c r="G11" i="23"/>
  <c r="F11" i="23" s="1"/>
  <c r="U10" i="23"/>
  <c r="AI45" i="2" l="1"/>
  <c r="AJ45" i="2"/>
  <c r="X46" i="2"/>
  <c r="J46" i="2"/>
  <c r="W46" i="2"/>
  <c r="I46" i="2"/>
  <c r="H46" i="2"/>
  <c r="V46" i="2"/>
  <c r="Y46" i="2"/>
  <c r="E47" i="2"/>
  <c r="Q11" i="23"/>
  <c r="S11" i="23"/>
  <c r="U11" i="23"/>
  <c r="P11" i="23"/>
  <c r="T11" i="23"/>
  <c r="R11" i="23"/>
  <c r="AN44" i="2"/>
  <c r="H12" i="23"/>
  <c r="AD45" i="2"/>
  <c r="AK45" i="2"/>
  <c r="AC45" i="2"/>
  <c r="AL45" i="2" l="1"/>
  <c r="AP45" i="2"/>
  <c r="AQ45" i="2" s="1"/>
  <c r="AR44" i="2"/>
  <c r="B13" i="26" s="1"/>
  <c r="K46" i="2"/>
  <c r="L46" i="2"/>
  <c r="Z46" i="2"/>
  <c r="S46" i="2"/>
  <c r="M46" i="2"/>
  <c r="AE46" i="2" s="1"/>
  <c r="R46" i="2"/>
  <c r="Q46" i="2" s="1"/>
  <c r="AA46" i="2"/>
  <c r="AO46" i="2"/>
  <c r="AB46" i="2"/>
  <c r="U46" i="2"/>
  <c r="G47" i="2"/>
  <c r="P46" i="2"/>
  <c r="O46" i="2" s="1"/>
  <c r="T46" i="2"/>
  <c r="AM45" i="2"/>
  <c r="AH46" i="2"/>
  <c r="AS44" i="2" l="1"/>
  <c r="AJ46" i="2"/>
  <c r="X47" i="2"/>
  <c r="Y47" i="2"/>
  <c r="I47" i="2"/>
  <c r="T47" i="2" s="1"/>
  <c r="W47" i="2"/>
  <c r="H47" i="2"/>
  <c r="S47" i="2" s="1"/>
  <c r="V47" i="2"/>
  <c r="J47" i="2"/>
  <c r="U47" i="2" s="1"/>
  <c r="E48" i="2"/>
  <c r="H13" i="23"/>
  <c r="AN45" i="2"/>
  <c r="AG46" i="2"/>
  <c r="AD46" i="2"/>
  <c r="AC46" i="2"/>
  <c r="AK46" i="2"/>
  <c r="C13" i="26"/>
  <c r="G12" i="23"/>
  <c r="F12" i="23" s="1"/>
  <c r="AL46" i="2" l="1"/>
  <c r="AI46" i="2"/>
  <c r="AH47" i="2"/>
  <c r="AP46" i="2"/>
  <c r="AQ46" i="2" s="1"/>
  <c r="G48" i="2"/>
  <c r="AG47" i="2"/>
  <c r="AB47" i="2"/>
  <c r="AO47" i="2"/>
  <c r="P47" i="2"/>
  <c r="O47" i="2" s="1"/>
  <c r="L47" i="2"/>
  <c r="K47" i="2"/>
  <c r="Z47" i="2"/>
  <c r="AR45" i="2"/>
  <c r="B14" i="26" s="1"/>
  <c r="AM46" i="2"/>
  <c r="R47" i="2"/>
  <c r="Q47" i="2" s="1"/>
  <c r="M47" i="2"/>
  <c r="AA47" i="2"/>
  <c r="P12" i="23"/>
  <c r="T12" i="23"/>
  <c r="R12" i="23"/>
  <c r="U12" i="23"/>
  <c r="S12" i="23"/>
  <c r="Q12" i="23"/>
  <c r="AI47" i="2" l="1"/>
  <c r="AJ47" i="2"/>
  <c r="AK47" i="2"/>
  <c r="AC47" i="2"/>
  <c r="AD47" i="2"/>
  <c r="AM47" i="2"/>
  <c r="G13" i="23"/>
  <c r="F13" i="23" s="1"/>
  <c r="C14" i="26"/>
  <c r="I48" i="2"/>
  <c r="V48" i="2"/>
  <c r="Y48" i="2"/>
  <c r="W48" i="2"/>
  <c r="X48" i="2"/>
  <c r="H48" i="2"/>
  <c r="J48" i="2"/>
  <c r="U48" i="2" s="1"/>
  <c r="E49" i="2"/>
  <c r="AE47" i="2"/>
  <c r="AN46" i="2"/>
  <c r="H14" i="23"/>
  <c r="AS45" i="2"/>
  <c r="AL47" i="2" l="1"/>
  <c r="AP47" i="2"/>
  <c r="AQ47" i="2" s="1"/>
  <c r="AH48" i="2"/>
  <c r="AR46" i="2"/>
  <c r="B15" i="26" s="1"/>
  <c r="U13" i="23"/>
  <c r="P13" i="23"/>
  <c r="R13" i="23"/>
  <c r="Q13" i="23"/>
  <c r="T13" i="23"/>
  <c r="S13" i="23"/>
  <c r="S48" i="2"/>
  <c r="K48" i="2"/>
  <c r="P48" i="2"/>
  <c r="O48" i="2" s="1"/>
  <c r="L48" i="2"/>
  <c r="Z48" i="2"/>
  <c r="T48" i="2"/>
  <c r="R48" i="2"/>
  <c r="Q48" i="2" s="1"/>
  <c r="M48" i="2"/>
  <c r="AA48" i="2"/>
  <c r="H15" i="23"/>
  <c r="AN47" i="2"/>
  <c r="G49" i="2"/>
  <c r="AB48" i="2"/>
  <c r="AO48" i="2"/>
  <c r="AG48" i="2" l="1"/>
  <c r="AK48" i="2"/>
  <c r="AC48" i="2"/>
  <c r="AJ48" i="2"/>
  <c r="AS46" i="2"/>
  <c r="C15" i="26"/>
  <c r="G14" i="23"/>
  <c r="W49" i="2"/>
  <c r="I49" i="2"/>
  <c r="X49" i="2"/>
  <c r="H49" i="2"/>
  <c r="S49" i="2" s="1"/>
  <c r="J49" i="2"/>
  <c r="U49" i="2" s="1"/>
  <c r="V49" i="2"/>
  <c r="Y49" i="2"/>
  <c r="E50" i="2"/>
  <c r="AE48" i="2"/>
  <c r="AR47" i="2"/>
  <c r="B16" i="26" s="1"/>
  <c r="AD48" i="2"/>
  <c r="AI48" i="2" l="1"/>
  <c r="AL48" i="2"/>
  <c r="AP48" i="2"/>
  <c r="AQ48" i="2" s="1"/>
  <c r="M49" i="2"/>
  <c r="R49" i="2"/>
  <c r="Q49" i="2" s="1"/>
  <c r="AA49" i="2"/>
  <c r="F14" i="23"/>
  <c r="G15" i="23"/>
  <c r="F15" i="23" s="1"/>
  <c r="C16" i="26"/>
  <c r="T49" i="2"/>
  <c r="AG49" i="2" s="1"/>
  <c r="AH49" i="2"/>
  <c r="G50" i="2"/>
  <c r="AO49" i="2"/>
  <c r="AB49" i="2"/>
  <c r="AM48" i="2"/>
  <c r="AS47" i="2"/>
  <c r="L49" i="2"/>
  <c r="K49" i="2"/>
  <c r="P49" i="2"/>
  <c r="O49" i="2" s="1"/>
  <c r="Z49" i="2"/>
  <c r="AI49" i="2" l="1"/>
  <c r="AJ49" i="2"/>
  <c r="I50" i="2"/>
  <c r="T50" i="2" s="1"/>
  <c r="H50" i="2"/>
  <c r="W50" i="2"/>
  <c r="Y50" i="2"/>
  <c r="J50" i="2"/>
  <c r="U50" i="2" s="1"/>
  <c r="V50" i="2"/>
  <c r="X50" i="2"/>
  <c r="E51" i="2"/>
  <c r="S14" i="23"/>
  <c r="R14" i="23"/>
  <c r="P14" i="23"/>
  <c r="U14" i="23"/>
  <c r="T14" i="23"/>
  <c r="Q14" i="23"/>
  <c r="U15" i="23"/>
  <c r="Q15" i="23"/>
  <c r="T15" i="23"/>
  <c r="P15" i="23"/>
  <c r="R15" i="23"/>
  <c r="S15" i="23"/>
  <c r="AK49" i="2"/>
  <c r="AC49" i="2"/>
  <c r="AD49" i="2"/>
  <c r="AE49" i="2"/>
  <c r="H16" i="23"/>
  <c r="AN48" i="2"/>
  <c r="AL49" i="2" l="1"/>
  <c r="AP49" i="2"/>
  <c r="AQ49" i="2" s="1"/>
  <c r="AH50" i="2"/>
  <c r="AR48" i="2"/>
  <c r="B17" i="26" s="1"/>
  <c r="G51" i="2"/>
  <c r="AO50" i="2"/>
  <c r="AB50" i="2"/>
  <c r="AM49" i="2"/>
  <c r="S50" i="2"/>
  <c r="AG50" i="2" s="1"/>
  <c r="P50" i="2"/>
  <c r="O50" i="2" s="1"/>
  <c r="L50" i="2"/>
  <c r="K50" i="2"/>
  <c r="Z50" i="2"/>
  <c r="M50" i="2"/>
  <c r="R50" i="2"/>
  <c r="Q50" i="2" s="1"/>
  <c r="AA50" i="2"/>
  <c r="AI50" i="2" l="1"/>
  <c r="AJ50" i="2"/>
  <c r="X51" i="2"/>
  <c r="H51" i="2"/>
  <c r="S51" i="2" s="1"/>
  <c r="Y51" i="2"/>
  <c r="J51" i="2"/>
  <c r="W51" i="2"/>
  <c r="V51" i="2"/>
  <c r="I51" i="2"/>
  <c r="U51" i="2"/>
  <c r="E52" i="2"/>
  <c r="AC50" i="2"/>
  <c r="AK50" i="2"/>
  <c r="AD50" i="2"/>
  <c r="H17" i="23"/>
  <c r="AN49" i="2"/>
  <c r="AS48" i="2"/>
  <c r="G16" i="23"/>
  <c r="C17" i="26"/>
  <c r="AE50" i="2"/>
  <c r="AL50" i="2" l="1"/>
  <c r="AM50" i="2"/>
  <c r="AN50" i="2" s="1"/>
  <c r="AH51" i="2"/>
  <c r="G52" i="2"/>
  <c r="M51" i="2"/>
  <c r="R51" i="2"/>
  <c r="Q51" i="2" s="1"/>
  <c r="AA51" i="2"/>
  <c r="AB51" i="2"/>
  <c r="AO51" i="2"/>
  <c r="AR49" i="2"/>
  <c r="B18" i="26" s="1"/>
  <c r="AP50" i="2"/>
  <c r="AQ50" i="2" s="1"/>
  <c r="F16" i="23"/>
  <c r="T51" i="2"/>
  <c r="AG51" i="2" s="1"/>
  <c r="P51" i="2"/>
  <c r="O51" i="2" s="1"/>
  <c r="L51" i="2"/>
  <c r="K51" i="2"/>
  <c r="Z51" i="2"/>
  <c r="H18" i="23"/>
  <c r="AI51" i="2" l="1"/>
  <c r="AJ51" i="2"/>
  <c r="V52" i="2"/>
  <c r="X52" i="2"/>
  <c r="H52" i="2"/>
  <c r="S52" i="2" s="1"/>
  <c r="Y52" i="2"/>
  <c r="I52" i="2"/>
  <c r="T52" i="2" s="1"/>
  <c r="J52" i="2"/>
  <c r="U52" i="2" s="1"/>
  <c r="W52" i="2"/>
  <c r="E53" i="2"/>
  <c r="AS49" i="2"/>
  <c r="C18" i="26"/>
  <c r="G17" i="23"/>
  <c r="AK51" i="2"/>
  <c r="AM51" i="2" s="1"/>
  <c r="AC51" i="2"/>
  <c r="AE51" i="2"/>
  <c r="AR50" i="2"/>
  <c r="B19" i="26" s="1"/>
  <c r="AD51" i="2"/>
  <c r="U16" i="23"/>
  <c r="P16" i="23"/>
  <c r="S16" i="23"/>
  <c r="T16" i="23"/>
  <c r="R16" i="23"/>
  <c r="Q16" i="23"/>
  <c r="AL51" i="2" l="1"/>
  <c r="AG52" i="2"/>
  <c r="AP51" i="2"/>
  <c r="AQ51" i="2" s="1"/>
  <c r="G18" i="23"/>
  <c r="F18" i="23" s="1"/>
  <c r="C19" i="26"/>
  <c r="AO52" i="2"/>
  <c r="AB52" i="2"/>
  <c r="R52" i="2"/>
  <c r="Q52" i="2" s="1"/>
  <c r="M52" i="2"/>
  <c r="AE52" i="2" s="1"/>
  <c r="AA52" i="2"/>
  <c r="L52" i="2"/>
  <c r="AD52" i="2" s="1"/>
  <c r="K52" i="2"/>
  <c r="P52" i="2"/>
  <c r="O52" i="2" s="1"/>
  <c r="Z52" i="2"/>
  <c r="F17" i="23"/>
  <c r="AH52" i="2"/>
  <c r="H19" i="23"/>
  <c r="AN51" i="2"/>
  <c r="AS50" i="2"/>
  <c r="G53" i="2"/>
  <c r="AI52" i="2" l="1"/>
  <c r="AJ52" i="2"/>
  <c r="Y53" i="2"/>
  <c r="X53" i="2"/>
  <c r="J53" i="2"/>
  <c r="V53" i="2"/>
  <c r="W53" i="2"/>
  <c r="H53" i="2"/>
  <c r="S53" i="2" s="1"/>
  <c r="I53" i="2"/>
  <c r="U53" i="2"/>
  <c r="E54" i="2"/>
  <c r="AK52" i="2"/>
  <c r="AC52" i="2"/>
  <c r="AP52" i="2" s="1"/>
  <c r="AQ52" i="2" s="1"/>
  <c r="AR51" i="2"/>
  <c r="B20" i="26" s="1"/>
  <c r="S17" i="23"/>
  <c r="P17" i="23"/>
  <c r="R17" i="23"/>
  <c r="T17" i="23"/>
  <c r="Q17" i="23"/>
  <c r="U17" i="23"/>
  <c r="T18" i="23"/>
  <c r="Q18" i="23"/>
  <c r="S18" i="23"/>
  <c r="P18" i="23"/>
  <c r="R18" i="23"/>
  <c r="U18" i="23"/>
  <c r="AL52" i="2" l="1"/>
  <c r="AH53" i="2"/>
  <c r="G54" i="2"/>
  <c r="T53" i="2"/>
  <c r="AG53" i="2" s="1"/>
  <c r="M53" i="2"/>
  <c r="AE53" i="2" s="1"/>
  <c r="R53" i="2"/>
  <c r="Q53" i="2" s="1"/>
  <c r="AA53" i="2"/>
  <c r="AM52" i="2"/>
  <c r="AO53" i="2"/>
  <c r="AB53" i="2"/>
  <c r="P53" i="2"/>
  <c r="O53" i="2" s="1"/>
  <c r="K53" i="2"/>
  <c r="L53" i="2"/>
  <c r="AD53" i="2" s="1"/>
  <c r="Z53" i="2"/>
  <c r="AS51" i="2"/>
  <c r="C20" i="26"/>
  <c r="G19" i="23"/>
  <c r="F19" i="23" s="1"/>
  <c r="AI53" i="2" l="1"/>
  <c r="W54" i="2"/>
  <c r="X54" i="2"/>
  <c r="V54" i="2"/>
  <c r="H54" i="2"/>
  <c r="S54" i="2" s="1"/>
  <c r="I54" i="2"/>
  <c r="Y54" i="2"/>
  <c r="J54" i="2"/>
  <c r="E55" i="2"/>
  <c r="AJ53" i="2"/>
  <c r="AN52" i="2"/>
  <c r="H20" i="23"/>
  <c r="S19" i="23"/>
  <c r="T19" i="23"/>
  <c r="Q19" i="23"/>
  <c r="R19" i="23"/>
  <c r="P19" i="23"/>
  <c r="U19" i="23"/>
  <c r="AK53" i="2"/>
  <c r="AC53" i="2"/>
  <c r="AP53" i="2" s="1"/>
  <c r="AQ53" i="2" s="1"/>
  <c r="AL53" i="2" l="1"/>
  <c r="AM53" i="2"/>
  <c r="H21" i="23" s="1"/>
  <c r="AO54" i="2"/>
  <c r="AB54" i="2"/>
  <c r="U54" i="2"/>
  <c r="AH54" i="2"/>
  <c r="G55" i="2"/>
  <c r="K54" i="2"/>
  <c r="L54" i="2"/>
  <c r="AD54" i="2" s="1"/>
  <c r="P54" i="2"/>
  <c r="O54" i="2" s="1"/>
  <c r="Z54" i="2"/>
  <c r="T54" i="2"/>
  <c r="R54" i="2"/>
  <c r="Q54" i="2" s="1"/>
  <c r="M54" i="2"/>
  <c r="AE54" i="2" s="1"/>
  <c r="AA54" i="2"/>
  <c r="AR52" i="2"/>
  <c r="B21" i="26" s="1"/>
  <c r="AN53" i="2" l="1"/>
  <c r="AR53" i="2" s="1"/>
  <c r="B22" i="26" s="1"/>
  <c r="AG54" i="2"/>
  <c r="V55" i="2"/>
  <c r="I55" i="2"/>
  <c r="T55" i="2" s="1"/>
  <c r="X55" i="2"/>
  <c r="W55" i="2"/>
  <c r="H55" i="2"/>
  <c r="Y55" i="2"/>
  <c r="J55" i="2"/>
  <c r="E56" i="2"/>
  <c r="AJ54" i="2"/>
  <c r="AC54" i="2"/>
  <c r="AP54" i="2" s="1"/>
  <c r="AQ54" i="2" s="1"/>
  <c r="AK54" i="2"/>
  <c r="AS52" i="2"/>
  <c r="G20" i="23"/>
  <c r="F20" i="23" s="1"/>
  <c r="C21" i="26"/>
  <c r="AI54" i="2" l="1"/>
  <c r="AL54" i="2"/>
  <c r="AB55" i="2"/>
  <c r="AO55" i="2"/>
  <c r="AS53" i="2"/>
  <c r="U55" i="2"/>
  <c r="AM54" i="2"/>
  <c r="S20" i="23"/>
  <c r="T20" i="23"/>
  <c r="P20" i="23"/>
  <c r="Q20" i="23"/>
  <c r="R20" i="23"/>
  <c r="U20" i="23"/>
  <c r="G56" i="2"/>
  <c r="S55" i="2"/>
  <c r="K55" i="2"/>
  <c r="L55" i="2"/>
  <c r="AD55" i="2" s="1"/>
  <c r="P55" i="2"/>
  <c r="O55" i="2" s="1"/>
  <c r="Z55" i="2"/>
  <c r="C22" i="26"/>
  <c r="G21" i="23"/>
  <c r="F21" i="23" s="1"/>
  <c r="M55" i="2"/>
  <c r="AE55" i="2" s="1"/>
  <c r="R55" i="2"/>
  <c r="Q55" i="2" s="1"/>
  <c r="AA55" i="2"/>
  <c r="AH55" i="2"/>
  <c r="AG55" i="2" l="1"/>
  <c r="AJ55" i="2"/>
  <c r="X56" i="2"/>
  <c r="Y56" i="2"/>
  <c r="W56" i="2"/>
  <c r="J56" i="2"/>
  <c r="U56" i="2" s="1"/>
  <c r="I56" i="2"/>
  <c r="T56" i="2" s="1"/>
  <c r="V56" i="2"/>
  <c r="H56" i="2"/>
  <c r="S56" i="2" s="1"/>
  <c r="E57" i="2"/>
  <c r="R21" i="23"/>
  <c r="Q21" i="23"/>
  <c r="T21" i="23"/>
  <c r="P21" i="23"/>
  <c r="U21" i="23"/>
  <c r="S21" i="23"/>
  <c r="AN54" i="2"/>
  <c r="H22" i="23"/>
  <c r="AK55" i="2"/>
  <c r="AC55" i="2"/>
  <c r="AP55" i="2" s="1"/>
  <c r="AQ55" i="2" s="1"/>
  <c r="AI55" i="2" l="1"/>
  <c r="AL55" i="2"/>
  <c r="AM55" i="2"/>
  <c r="AN55" i="2" s="1"/>
  <c r="AH56" i="2"/>
  <c r="AG56" i="2"/>
  <c r="K56" i="2"/>
  <c r="L56" i="2"/>
  <c r="AD56" i="2" s="1"/>
  <c r="P56" i="2"/>
  <c r="O56" i="2" s="1"/>
  <c r="Z56" i="2"/>
  <c r="G57" i="2"/>
  <c r="AO56" i="2"/>
  <c r="AB56" i="2"/>
  <c r="AR54" i="2"/>
  <c r="B23" i="26" s="1"/>
  <c r="M56" i="2"/>
  <c r="AE56" i="2" s="1"/>
  <c r="R56" i="2"/>
  <c r="Q56" i="2" s="1"/>
  <c r="AA56" i="2"/>
  <c r="AI56" i="2" l="1"/>
  <c r="H23" i="23"/>
  <c r="J57" i="2"/>
  <c r="Y57" i="2"/>
  <c r="V57" i="2"/>
  <c r="I57" i="2"/>
  <c r="T57" i="2" s="1"/>
  <c r="X57" i="2"/>
  <c r="W57" i="2"/>
  <c r="H57" i="2"/>
  <c r="S57" i="2" s="1"/>
  <c r="U57" i="2"/>
  <c r="E58" i="2"/>
  <c r="G22" i="23"/>
  <c r="F22" i="23" s="1"/>
  <c r="C23" i="26"/>
  <c r="AJ56" i="2"/>
  <c r="AR55" i="2"/>
  <c r="B24" i="26" s="1"/>
  <c r="AK56" i="2"/>
  <c r="AC56" i="2"/>
  <c r="AP56" i="2" s="1"/>
  <c r="AQ56" i="2" s="1"/>
  <c r="AS54" i="2"/>
  <c r="AL56" i="2" l="1"/>
  <c r="AM56" i="2"/>
  <c r="H24" i="23" s="1"/>
  <c r="G58" i="2"/>
  <c r="AS55" i="2"/>
  <c r="M57" i="2"/>
  <c r="AE57" i="2" s="1"/>
  <c r="R57" i="2"/>
  <c r="Q57" i="2" s="1"/>
  <c r="AA57" i="2"/>
  <c r="AG57" i="2"/>
  <c r="K57" i="2"/>
  <c r="P57" i="2"/>
  <c r="O57" i="2" s="1"/>
  <c r="L57" i="2"/>
  <c r="AD57" i="2" s="1"/>
  <c r="Z57" i="2"/>
  <c r="AH57" i="2"/>
  <c r="P22" i="23"/>
  <c r="R22" i="23"/>
  <c r="S22" i="23"/>
  <c r="T22" i="23"/>
  <c r="Q22" i="23"/>
  <c r="U22" i="23"/>
  <c r="G23" i="23"/>
  <c r="F23" i="23" s="1"/>
  <c r="C24" i="26"/>
  <c r="AB57" i="2"/>
  <c r="AO57" i="2"/>
  <c r="AI57" i="2" l="1"/>
  <c r="AN56" i="2"/>
  <c r="H58" i="2"/>
  <c r="S58" i="2" s="1"/>
  <c r="J58" i="2"/>
  <c r="W58" i="2"/>
  <c r="V58" i="2"/>
  <c r="Y58" i="2"/>
  <c r="I58" i="2"/>
  <c r="T58" i="2" s="1"/>
  <c r="X58" i="2"/>
  <c r="U58" i="2"/>
  <c r="E59" i="2"/>
  <c r="AK57" i="2"/>
  <c r="AC57" i="2"/>
  <c r="AP57" i="2" s="1"/>
  <c r="AQ57" i="2" s="1"/>
  <c r="AJ57" i="2"/>
  <c r="T23" i="23"/>
  <c r="Q23" i="23"/>
  <c r="P23" i="23"/>
  <c r="U23" i="23"/>
  <c r="R23" i="23"/>
  <c r="S23" i="23"/>
  <c r="AR56" i="2"/>
  <c r="B25" i="26" s="1"/>
  <c r="AL57" i="2" l="1"/>
  <c r="AG58" i="2"/>
  <c r="AM57" i="2"/>
  <c r="H25" i="23" s="1"/>
  <c r="AS56" i="2"/>
  <c r="AH58" i="2"/>
  <c r="M58" i="2"/>
  <c r="AE58" i="2" s="1"/>
  <c r="R58" i="2"/>
  <c r="Q58" i="2" s="1"/>
  <c r="AA58" i="2"/>
  <c r="AB58" i="2"/>
  <c r="AO58" i="2"/>
  <c r="G24" i="23"/>
  <c r="F24" i="23" s="1"/>
  <c r="C25" i="26"/>
  <c r="L58" i="2"/>
  <c r="AD58" i="2" s="1"/>
  <c r="K58" i="2"/>
  <c r="P58" i="2"/>
  <c r="O58" i="2" s="1"/>
  <c r="Z58" i="2"/>
  <c r="AI58" i="2" l="1"/>
  <c r="AN57" i="2"/>
  <c r="AJ58" i="2"/>
  <c r="AK58" i="2"/>
  <c r="AC58" i="2"/>
  <c r="AP58" i="2" s="1"/>
  <c r="AQ58" i="2" s="1"/>
  <c r="AR57" i="2"/>
  <c r="B26" i="26" s="1"/>
  <c r="C19" i="2"/>
  <c r="F61" i="2"/>
  <c r="T24" i="23"/>
  <c r="R24" i="23"/>
  <c r="P24" i="23"/>
  <c r="S24" i="23"/>
  <c r="U24" i="23"/>
  <c r="Q24" i="23"/>
  <c r="G59" i="2"/>
  <c r="AL58" i="2" l="1"/>
  <c r="C28" i="2"/>
  <c r="D28" i="2"/>
  <c r="D24" i="2" s="1"/>
  <c r="E26" i="2"/>
  <c r="E27" i="2"/>
  <c r="D26" i="2"/>
  <c r="D22" i="2" s="1"/>
  <c r="D27" i="2"/>
  <c r="D23" i="2" s="1"/>
  <c r="C30" i="20"/>
  <c r="C20" i="2"/>
  <c r="D30" i="20" s="1"/>
  <c r="AS57" i="2"/>
  <c r="C26" i="26"/>
  <c r="G25" i="23"/>
  <c r="F25" i="23" s="1"/>
  <c r="V59" i="2"/>
  <c r="Y59" i="2"/>
  <c r="H59" i="2"/>
  <c r="I59" i="2"/>
  <c r="W59" i="2"/>
  <c r="J59" i="2"/>
  <c r="X59" i="2"/>
  <c r="G61" i="2"/>
  <c r="AM58" i="2"/>
  <c r="E28" i="2" l="1"/>
  <c r="E24" i="2" s="1"/>
  <c r="C24" i="2"/>
  <c r="C27" i="2"/>
  <c r="E23" i="2"/>
  <c r="C26" i="2"/>
  <c r="E22" i="2"/>
  <c r="R59" i="2"/>
  <c r="Q59" i="2" s="1"/>
  <c r="M59" i="2"/>
  <c r="I61" i="2"/>
  <c r="AA59" i="2"/>
  <c r="AH59" i="2"/>
  <c r="T59" i="2"/>
  <c r="S59" i="2"/>
  <c r="L59" i="2"/>
  <c r="K59" i="2"/>
  <c r="P59" i="2"/>
  <c r="O59" i="2" s="1"/>
  <c r="H61" i="2"/>
  <c r="Z59" i="2"/>
  <c r="AO59" i="2"/>
  <c r="J61" i="2"/>
  <c r="AB59" i="2"/>
  <c r="R25" i="23"/>
  <c r="U25" i="23"/>
  <c r="T25" i="23"/>
  <c r="S25" i="23"/>
  <c r="P25" i="23"/>
  <c r="Q25" i="23"/>
  <c r="H26" i="23"/>
  <c r="AN58" i="2"/>
  <c r="U59" i="2"/>
  <c r="AG59" i="2" l="1"/>
  <c r="AJ59" i="2"/>
  <c r="L61" i="2"/>
  <c r="AD59" i="2"/>
  <c r="AK59" i="2"/>
  <c r="AM59" i="2" s="1"/>
  <c r="K61" i="2"/>
  <c r="AC59" i="2"/>
  <c r="C22" i="2"/>
  <c r="E30" i="20"/>
  <c r="AR58" i="2"/>
  <c r="B27" i="26" s="1"/>
  <c r="AE59" i="2"/>
  <c r="M61" i="2"/>
  <c r="AI59" i="2" l="1"/>
  <c r="AL59" i="2"/>
  <c r="AP59" i="2"/>
  <c r="AQ59" i="2" s="1"/>
  <c r="H27" i="23"/>
  <c r="H28" i="23" s="1"/>
  <c r="AN59" i="2"/>
  <c r="G26" i="23"/>
  <c r="F26" i="23" s="1"/>
  <c r="C27" i="26"/>
  <c r="AS58" i="2"/>
  <c r="G30" i="20"/>
  <c r="C23" i="2"/>
  <c r="F30" i="20"/>
  <c r="AR59" i="2" l="1"/>
  <c r="B28" i="26" s="1"/>
  <c r="Q26" i="23"/>
  <c r="S26" i="23"/>
  <c r="R26" i="23"/>
  <c r="U26" i="23"/>
  <c r="T26" i="23"/>
  <c r="P26" i="23"/>
  <c r="AS59" i="2" l="1"/>
  <c r="C28" i="26"/>
  <c r="G27" i="23"/>
  <c r="F27" i="23" l="1"/>
  <c r="G28" i="23"/>
  <c r="S27" i="23" l="1"/>
  <c r="U27" i="23"/>
  <c r="Q27" i="23"/>
  <c r="T27" i="23"/>
  <c r="P27" i="23"/>
  <c r="R27" i="23"/>
  <c r="F28" i="23"/>
  <c r="E19" i="20" s="1"/>
  <c r="C2" i="27" l="1"/>
  <c r="H2"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author>
  </authors>
  <commentList>
    <comment ref="E10" authorId="0" shapeId="0" xr:uid="{977A8323-0D71-422A-B777-CAF21D8B1B2C}">
      <text>
        <r>
          <rPr>
            <sz val="9"/>
            <color indexed="81"/>
            <rFont val="Tahoma"/>
            <family val="2"/>
          </rPr>
          <t>% All new homes that are all-electric</t>
        </r>
      </text>
    </comment>
    <comment ref="E11" authorId="0" shapeId="0" xr:uid="{0864BA03-41B5-4B8D-88D7-64AE137CACED}">
      <text>
        <r>
          <rPr>
            <sz val="9"/>
            <color indexed="81"/>
            <rFont val="Tahoma"/>
            <family val="2"/>
          </rPr>
          <t>% of permitted installations</t>
        </r>
      </text>
    </comment>
    <comment ref="E12" authorId="0" shapeId="0" xr:uid="{776F1338-C0D1-4933-9886-CDBE3250F9CD}">
      <text>
        <r>
          <rPr>
            <sz val="9"/>
            <color indexed="81"/>
            <rFont val="Tahoma"/>
            <family val="2"/>
          </rPr>
          <t>% of resale homes with timely assessments</t>
        </r>
        <r>
          <rPr>
            <sz val="9"/>
            <color indexed="81"/>
            <rFont val="Tahoma"/>
            <family val="2"/>
          </rPr>
          <t xml:space="preserve">
</t>
        </r>
      </text>
    </comment>
    <comment ref="E13" authorId="0" shapeId="0" xr:uid="{AF1CE72E-E577-424E-9462-E7B86AE757F9}">
      <text>
        <r>
          <rPr>
            <sz val="9"/>
            <color indexed="81"/>
            <rFont val="Tahoma"/>
            <family val="2"/>
          </rPr>
          <t>% of equipment replacements that meet standard
Assume higher compliance if Code Compliance program is in place.</t>
        </r>
      </text>
    </comment>
    <comment ref="E14" authorId="0" shapeId="0" xr:uid="{67D85963-5F65-4999-8DFC-911749F871C9}">
      <text>
        <r>
          <rPr>
            <sz val="9"/>
            <color indexed="81"/>
            <rFont val="Tahoma"/>
            <family val="2"/>
          </rPr>
          <t>% of renovations that meet standard</t>
        </r>
      </text>
    </comment>
    <comment ref="E15" authorId="0" shapeId="0" xr:uid="{E35AF4D4-AB02-4BA7-8482-937210955652}">
      <text>
        <r>
          <rPr>
            <sz val="9"/>
            <color indexed="81"/>
            <rFont val="Tahoma"/>
            <family val="2"/>
          </rPr>
          <t>% of homes that meet standard
Assume higher compliance if Code Compliance program is in place.</t>
        </r>
      </text>
    </comment>
    <comment ref="E16" authorId="0" shapeId="0" xr:uid="{0FCDBF79-FE02-406E-B26F-3198365873D0}">
      <text>
        <r>
          <rPr>
            <sz val="9"/>
            <color indexed="81"/>
            <rFont val="Tahoma"/>
            <family val="2"/>
          </rPr>
          <t>All gas deliveries stop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tc={F9CF6526-8412-4E76-9BDF-60E114648321}</author>
    <author>tc={B2DDFE89-72CA-4CEC-A128-A4AA955588AE}</author>
    <author>tc={3CE4F84B-A184-4DAB-A104-C8F7BF7E28BD}</author>
    <author>tc={A1527BB9-8468-41A4-A4FD-333F85933B88}</author>
  </authors>
  <commentList>
    <comment ref="A30" authorId="0" shapeId="0" xr:uid="{F9CF6526-8412-4E76-9BDF-60E114648321}">
      <text>
        <t>[Threaded comment]
Your version of Excel allows you to read this threaded comment; however, any edits to it will get removed if the file is opened in a newer version of Excel. Learn more: https://go.microsoft.com/fwlink/?linkid=870924
Comment:
    2 or more space heating break downs in prior 3 months</t>
      </text>
    </comment>
    <comment ref="A32" authorId="1" shapeId="0" xr:uid="{B2DDFE89-72CA-4CEC-A128-A4AA955588AE}">
      <text>
        <t>[Threaded comment]
Your version of Excel allows you to read this threaded comment; however, any edits to it will get removed if the file is opened in a newer version of Excel. Learn more: https://go.microsoft.com/fwlink/?linkid=870924
Comment:
    With fuses or breakers blown in last 3 months          </t>
      </text>
    </comment>
    <comment ref="A37" authorId="2" shapeId="0" xr:uid="{3CE4F84B-A184-4DAB-A104-C8F7BF7E28BD}">
      <text>
        <t>[Threaded comment]
Your version of Excel allows you to read this threaded comment; however, any edits to it will get removed if the file is opened in a newer version of Excel. Learn more: https://go.microsoft.com/fwlink/?linkid=870924
Comment:
    space heating equipment break downs</t>
      </text>
    </comment>
    <comment ref="A39" authorId="3" shapeId="0" xr:uid="{A1527BB9-8468-41A4-A4FD-333F85933B88}">
      <text>
        <t>[Threaded comment]
Your version of Excel allows you to read this threaded comment; however, any edits to it will get removed if the file is opened in a newer version of Excel. Learn more: https://go.microsoft.com/fwlink/?linkid=870924
Comment:
    With fuses or breakers blown in last 3 months          </t>
      </text>
    </comment>
  </commentList>
</comments>
</file>

<file path=xl/sharedStrings.xml><?xml version="1.0" encoding="utf-8"?>
<sst xmlns="http://schemas.openxmlformats.org/spreadsheetml/2006/main" count="2140" uniqueCount="676">
  <si>
    <t>Instructions for using the BayREN Policy Calculator</t>
  </si>
  <si>
    <t>Introduction</t>
  </si>
  <si>
    <r>
      <t xml:space="preserve">This tool helps local governments estimate and visualize the potential energy and GHG impacts from a suite of policy options for upgrading the existing single-family housing stock. The tool analyzes five policy options, as discussed in the BayREN white paper </t>
    </r>
    <r>
      <rPr>
        <i/>
        <sz val="11"/>
        <color theme="1"/>
        <rFont val="Calibri"/>
        <family val="2"/>
        <scheme val="minor"/>
      </rPr>
      <t>Local Government Levers for Energy Policy in the Existing Single-Family Residential Sector</t>
    </r>
    <r>
      <rPr>
        <sz val="11"/>
        <color theme="1"/>
        <rFont val="Calibri"/>
        <family val="2"/>
        <scheme val="minor"/>
      </rPr>
      <t xml:space="preserve"> (Alvarez and Mast, December 2020).</t>
    </r>
  </si>
  <si>
    <r>
      <t>1.</t>
    </r>
    <r>
      <rPr>
        <sz val="7"/>
        <color theme="1"/>
        <rFont val="Times New Roman"/>
        <family val="1"/>
      </rPr>
      <t xml:space="preserve">      </t>
    </r>
    <r>
      <rPr>
        <b/>
        <sz val="11"/>
        <color theme="1"/>
        <rFont val="Calibri"/>
        <family val="2"/>
        <scheme val="minor"/>
      </rPr>
      <t xml:space="preserve">Code Compliance: </t>
    </r>
    <r>
      <rPr>
        <sz val="11"/>
        <color theme="1"/>
        <rFont val="Calibri"/>
        <family val="2"/>
        <scheme val="minor"/>
      </rPr>
      <t>Enhanced enforcement of Title 24 energy code requirements</t>
    </r>
  </si>
  <si>
    <r>
      <t>3.</t>
    </r>
    <r>
      <rPr>
        <sz val="7"/>
        <color theme="1"/>
        <rFont val="Times New Roman"/>
        <family val="1"/>
      </rPr>
      <t xml:space="preserve">      </t>
    </r>
    <r>
      <rPr>
        <b/>
        <sz val="11"/>
        <color theme="1"/>
        <rFont val="Calibri"/>
        <family val="2"/>
        <scheme val="minor"/>
      </rPr>
      <t>Upgrade at Time of Equipment Replacement:</t>
    </r>
    <r>
      <rPr>
        <sz val="11"/>
        <color theme="1"/>
        <rFont val="Calibri"/>
        <family val="2"/>
        <scheme val="minor"/>
      </rPr>
      <t xml:space="preserve"> Requirements for specific appliance upgrades that are triggered by appliance replacement at or near the end of its useful life</t>
    </r>
  </si>
  <si>
    <r>
      <t>4.</t>
    </r>
    <r>
      <rPr>
        <sz val="7"/>
        <color theme="1"/>
        <rFont val="Times New Roman"/>
        <family val="1"/>
      </rPr>
      <t xml:space="preserve">      </t>
    </r>
    <r>
      <rPr>
        <b/>
        <sz val="11"/>
        <color theme="1"/>
        <rFont val="Calibri"/>
        <family val="2"/>
        <scheme val="minor"/>
      </rPr>
      <t>Upgrade at Time of Major Renovation:</t>
    </r>
    <r>
      <rPr>
        <sz val="11"/>
        <color theme="1"/>
        <rFont val="Calibri"/>
        <family val="2"/>
        <scheme val="minor"/>
      </rPr>
      <t xml:space="preserve"> Requirements for appliance upgrades or related energy improvements that are triggered by major renovations to the home</t>
    </r>
  </si>
  <si>
    <t>In addition, the tool models two related policy options that have a direct impact on the appliance stock and energy performance of existing homes:</t>
  </si>
  <si>
    <t>Policy Impact Dashboard</t>
  </si>
  <si>
    <r>
      <t>Step 1. Specify the County</t>
    </r>
    <r>
      <rPr>
        <sz val="11"/>
        <color theme="1"/>
        <rFont val="Calibri"/>
        <family val="2"/>
        <scheme val="minor"/>
      </rPr>
      <t xml:space="preserve"> (cell B4)</t>
    </r>
    <r>
      <rPr>
        <b/>
        <sz val="11"/>
        <color theme="1"/>
        <rFont val="Calibri"/>
        <family val="2"/>
        <scheme val="minor"/>
      </rPr>
      <t xml:space="preserve"> and then select the City</t>
    </r>
    <r>
      <rPr>
        <sz val="11"/>
        <color theme="1"/>
        <rFont val="Calibri"/>
        <family val="2"/>
        <scheme val="minor"/>
      </rPr>
      <t xml:space="preserve"> from the list associated with that county (Cell B5). The user can also select the entire county or the unincorporated county only.</t>
    </r>
  </si>
  <si>
    <r>
      <t xml:space="preserve">Step 2. </t>
    </r>
    <r>
      <rPr>
        <sz val="11"/>
        <color theme="1"/>
        <rFont val="Calibri"/>
        <family val="2"/>
        <scheme val="minor"/>
      </rPr>
      <t>Check the boxes to</t>
    </r>
    <r>
      <rPr>
        <b/>
        <sz val="11"/>
        <color theme="1"/>
        <rFont val="Calibri"/>
        <family val="2"/>
        <scheme val="minor"/>
      </rPr>
      <t xml:space="preserve"> specify which policy options to include in the analysis </t>
    </r>
    <r>
      <rPr>
        <sz val="11"/>
        <color theme="1"/>
        <rFont val="Calibri"/>
        <family val="2"/>
        <scheme val="minor"/>
      </rPr>
      <t>(cells B8-B14).</t>
    </r>
  </si>
  <si>
    <r>
      <t xml:space="preserve">Step 3. </t>
    </r>
    <r>
      <rPr>
        <sz val="11"/>
        <color theme="1"/>
        <rFont val="Calibri"/>
        <family val="2"/>
        <scheme val="minor"/>
      </rPr>
      <t>For the selected policy options,</t>
    </r>
    <r>
      <rPr>
        <b/>
        <sz val="11"/>
        <color theme="1"/>
        <rFont val="Calibri"/>
        <family val="2"/>
        <scheme val="minor"/>
      </rPr>
      <t xml:space="preserve"> specify the year the policies should take effect </t>
    </r>
    <r>
      <rPr>
        <sz val="11"/>
        <color theme="1"/>
        <rFont val="Calibri"/>
        <family val="2"/>
        <scheme val="minor"/>
      </rPr>
      <t>(cells C8-C14).</t>
    </r>
  </si>
  <si>
    <r>
      <t xml:space="preserve">Step 4. </t>
    </r>
    <r>
      <rPr>
        <sz val="11"/>
        <color theme="1"/>
        <rFont val="Calibri"/>
        <family val="2"/>
        <scheme val="minor"/>
      </rPr>
      <t xml:space="preserve">For the selected policy options, </t>
    </r>
    <r>
      <rPr>
        <b/>
        <sz val="11"/>
        <color theme="1"/>
        <rFont val="Calibri"/>
        <family val="2"/>
        <scheme val="minor"/>
      </rPr>
      <t xml:space="preserve">specify the starting and final compliance rate </t>
    </r>
    <r>
      <rPr>
        <sz val="11"/>
        <color theme="1"/>
        <rFont val="Calibri"/>
        <family val="2"/>
        <scheme val="minor"/>
      </rPr>
      <t>(cells D8-E14)</t>
    </r>
    <r>
      <rPr>
        <b/>
        <sz val="11"/>
        <color theme="1"/>
        <rFont val="Calibri"/>
        <family val="2"/>
        <scheme val="minor"/>
      </rPr>
      <t xml:space="preserve">. </t>
    </r>
    <r>
      <rPr>
        <sz val="11"/>
        <color theme="1"/>
        <rFont val="Calibri"/>
        <family val="2"/>
        <scheme val="minor"/>
      </rPr>
      <t>The starting rate can be understood as the percentage of eligible customers who voluntarily comply with the policy provisions without being required to do so. The final compliance rate is the compliance rate at full adoption. More specifically:</t>
    </r>
  </si>
  <si>
    <r>
      <t>·</t>
    </r>
    <r>
      <rPr>
        <sz val="7"/>
        <color theme="1"/>
        <rFont val="Times New Roman"/>
        <family val="1"/>
      </rPr>
      <t xml:space="preserve">        </t>
    </r>
    <r>
      <rPr>
        <b/>
        <sz val="11"/>
        <color theme="1"/>
        <rFont val="Calibri"/>
        <family val="2"/>
        <scheme val="minor"/>
      </rPr>
      <t>Energy Assessment and Disclosure:</t>
    </r>
    <r>
      <rPr>
        <sz val="11"/>
        <color theme="1"/>
        <rFont val="Calibri"/>
        <family val="2"/>
        <scheme val="minor"/>
      </rPr>
      <t xml:space="preserve"> Percentage of resale homes with timely assessments</t>
    </r>
  </si>
  <si>
    <r>
      <t>·</t>
    </r>
    <r>
      <rPr>
        <sz val="7"/>
        <color theme="1"/>
        <rFont val="Times New Roman"/>
        <family val="1"/>
      </rPr>
      <t xml:space="preserve">        </t>
    </r>
    <r>
      <rPr>
        <b/>
        <sz val="11"/>
        <color theme="1"/>
        <rFont val="Calibri"/>
        <family val="2"/>
        <scheme val="minor"/>
      </rPr>
      <t>Upgrade at Time of Equipment Replacement:</t>
    </r>
    <r>
      <rPr>
        <sz val="11"/>
        <color theme="1"/>
        <rFont val="Calibri"/>
        <family val="2"/>
        <scheme val="minor"/>
      </rPr>
      <t xml:space="preserve"> Percentage of equipment replacements that meet standard</t>
    </r>
  </si>
  <si>
    <r>
      <t>·</t>
    </r>
    <r>
      <rPr>
        <sz val="7"/>
        <color theme="1"/>
        <rFont val="Times New Roman"/>
        <family val="1"/>
      </rPr>
      <t xml:space="preserve">        </t>
    </r>
    <r>
      <rPr>
        <b/>
        <sz val="11"/>
        <color theme="1"/>
        <rFont val="Calibri"/>
        <family val="2"/>
        <scheme val="minor"/>
      </rPr>
      <t>Upgrade at Time of Major Renovation:</t>
    </r>
    <r>
      <rPr>
        <sz val="11"/>
        <color theme="1"/>
        <rFont val="Calibri"/>
        <family val="2"/>
        <scheme val="minor"/>
      </rPr>
      <t xml:space="preserve"> Percentage of renovations that meet standard</t>
    </r>
  </si>
  <si>
    <r>
      <t>·</t>
    </r>
    <r>
      <rPr>
        <sz val="7"/>
        <color theme="1"/>
        <rFont val="Times New Roman"/>
        <family val="1"/>
      </rPr>
      <t xml:space="preserve">        </t>
    </r>
    <r>
      <rPr>
        <b/>
        <sz val="11"/>
        <color theme="1"/>
        <rFont val="Calibri"/>
        <family val="2"/>
        <scheme val="minor"/>
      </rPr>
      <t>Building Performance Standards:</t>
    </r>
    <r>
      <rPr>
        <sz val="11"/>
        <color theme="1"/>
        <rFont val="Calibri"/>
        <family val="2"/>
        <scheme val="minor"/>
      </rPr>
      <t xml:space="preserve"> Percentage of homes that meet standard</t>
    </r>
  </si>
  <si>
    <r>
      <t>·</t>
    </r>
    <r>
      <rPr>
        <sz val="7"/>
        <color theme="1"/>
        <rFont val="Times New Roman"/>
        <family val="1"/>
      </rPr>
      <t xml:space="preserve">        </t>
    </r>
    <r>
      <rPr>
        <b/>
        <sz val="11"/>
        <color theme="1"/>
        <rFont val="Calibri"/>
        <family val="2"/>
        <scheme val="minor"/>
      </rPr>
      <t>End of Flow:</t>
    </r>
    <r>
      <rPr>
        <sz val="11"/>
        <color theme="1"/>
        <rFont val="Calibri"/>
        <family val="2"/>
        <scheme val="minor"/>
      </rPr>
      <t xml:space="preserve"> All gas deliveries stop</t>
    </r>
  </si>
  <si>
    <r>
      <t>Step 5. Specify which fuels to analyze</t>
    </r>
    <r>
      <rPr>
        <sz val="11"/>
        <color theme="1"/>
        <rFont val="Calibri"/>
        <family val="2"/>
        <scheme val="minor"/>
      </rPr>
      <t>, electricity, gas, or both (cells B17 and B18)</t>
    </r>
  </si>
  <si>
    <t>Housing Stock Profile</t>
  </si>
  <si>
    <t>AGENCY</t>
  </si>
  <si>
    <t>County</t>
  </si>
  <si>
    <t>Santa Clara</t>
  </si>
  <si>
    <t>City</t>
  </si>
  <si>
    <t>San Jose</t>
  </si>
  <si>
    <t>Compliance</t>
  </si>
  <si>
    <t>Policy Options Analyzed</t>
  </si>
  <si>
    <t>Include?</t>
  </si>
  <si>
    <t>Start Year</t>
  </si>
  <si>
    <t>Start</t>
  </si>
  <si>
    <t>Improve to</t>
  </si>
  <si>
    <t>0 - New Home Reach Code or All-Electric Ordinance</t>
  </si>
  <si>
    <t>1 - Code Compliance</t>
  </si>
  <si>
    <t>2- Energy Assessment &amp; Disclosure</t>
  </si>
  <si>
    <t>3- Upgrade @ Time of Equipment Replacement</t>
  </si>
  <si>
    <t>4- Upgrade @ Time of Major Renovation</t>
  </si>
  <si>
    <t>5- Building Performance Standards</t>
  </si>
  <si>
    <t>End of Flow</t>
  </si>
  <si>
    <t>Show gas emissions</t>
  </si>
  <si>
    <t>Show electric emissions</t>
  </si>
  <si>
    <t>FORECAST OF ANNUAL POLICY OUTCOMES</t>
  </si>
  <si>
    <t>Number of Inspections per Year</t>
  </si>
  <si>
    <t>Annual City Revenue from Inspections</t>
  </si>
  <si>
    <t>Annual Electricity Savings (MWh)</t>
  </si>
  <si>
    <t>Annual Gas Savings (Mtherms)</t>
  </si>
  <si>
    <t>Annual GHG Reductions (Mt CO2e)</t>
  </si>
  <si>
    <t>Number of Affected Properties / Year</t>
  </si>
  <si>
    <t>% of 1-4 Unit Housing Stock</t>
  </si>
  <si>
    <t>Code Compliance improves performance of other policy options</t>
  </si>
  <si>
    <t>UTILITY DATA</t>
  </si>
  <si>
    <t>Fuel</t>
  </si>
  <si>
    <t>Energy Provider</t>
  </si>
  <si>
    <t>Emissions Factor</t>
  </si>
  <si>
    <t>Units</t>
  </si>
  <si>
    <t>Gas</t>
  </si>
  <si>
    <t>Data Year</t>
  </si>
  <si>
    <t>Electricity</t>
  </si>
  <si>
    <t>CEC Climate Zone</t>
  </si>
  <si>
    <t>Single Family Housing Stock</t>
  </si>
  <si>
    <t>Single Family Appliance Stock</t>
  </si>
  <si>
    <t>Total</t>
  </si>
  <si>
    <t>Market Saturation</t>
  </si>
  <si>
    <t>Unit Energy Consumption</t>
  </si>
  <si>
    <t>Annual Replacements</t>
  </si>
  <si>
    <t>Replacement Rate</t>
  </si>
  <si>
    <t>Uesful Life</t>
  </si>
  <si>
    <t>Baseline Efficiency</t>
  </si>
  <si>
    <t>Performance Efficiency</t>
  </si>
  <si>
    <t>Efficiency Units</t>
  </si>
  <si>
    <t>Number of occupied units</t>
  </si>
  <si>
    <t>Central AC units</t>
  </si>
  <si>
    <t>SEER</t>
  </si>
  <si>
    <t>Rental units</t>
  </si>
  <si>
    <t>Gas furnace units</t>
  </si>
  <si>
    <t>AFUE</t>
  </si>
  <si>
    <t>Owner-occupied units</t>
  </si>
  <si>
    <t>Gas DHW units</t>
  </si>
  <si>
    <t>EF</t>
  </si>
  <si>
    <t>Home sales (annual)</t>
  </si>
  <si>
    <t>COP</t>
  </si>
  <si>
    <t>Major Renovations (annual)</t>
  </si>
  <si>
    <t>Renter move rate (annual)</t>
  </si>
  <si>
    <t>Misc. elec end uses</t>
  </si>
  <si>
    <t>New construction (annual)</t>
  </si>
  <si>
    <t>Misc. gas end uses</t>
  </si>
  <si>
    <t>Whole House Annual GHGs-Mixed Fuel</t>
  </si>
  <si>
    <t>mTons eCO2</t>
  </si>
  <si>
    <t>Whole House Annual GHGs-All Electric</t>
  </si>
  <si>
    <t>Market Average Emissions</t>
  </si>
  <si>
    <t># Gas furnace units</t>
  </si>
  <si>
    <t># Gas DHW units</t>
  </si>
  <si>
    <t># Misc. Gas End Uses</t>
  </si>
  <si>
    <t># Central AC units</t>
  </si>
  <si>
    <t># Heat Pump Space Heating</t>
  </si>
  <si>
    <t># HPWHs</t>
  </si>
  <si>
    <t># Misc. Elec. End Uses</t>
  </si>
  <si>
    <t>Zone</t>
  </si>
  <si>
    <t>All Household Elec (kWh)</t>
  </si>
  <si>
    <t>All Household Gas UEC (Therms)</t>
  </si>
  <si>
    <t>Mod. Furnace UEC (Therms)</t>
  </si>
  <si>
    <t>Mod. Gas DHW UEC (Therms)</t>
  </si>
  <si>
    <t>Mod. AC UEC (kWh)</t>
  </si>
  <si>
    <t>HP UEC (kWh)</t>
  </si>
  <si>
    <t>HPWH UEC (kWh)</t>
  </si>
  <si>
    <t>Elec Misc. UEC (kWh)</t>
  </si>
  <si>
    <t>Conversion: 1 therm =</t>
  </si>
  <si>
    <t>KWh</t>
  </si>
  <si>
    <t>Whole House Annual GHGs-Mixed Fuel (mTons eCO2)</t>
  </si>
  <si>
    <t>Whole House Annual GHGs-All Electric (mTons eCO2)</t>
  </si>
  <si>
    <t>Useful Life</t>
  </si>
  <si>
    <t>Revised Stocks and Impacts</t>
  </si>
  <si>
    <t>Year</t>
  </si>
  <si>
    <t>New Construction Forecast</t>
  </si>
  <si>
    <t>Change in # Gas furnace units</t>
  </si>
  <si>
    <t>Change in # Gas DHW units</t>
  </si>
  <si>
    <t>Change in # Misc. Gas End Uses</t>
  </si>
  <si>
    <t>Change in # Central AC units</t>
  </si>
  <si>
    <t>Change in # Heat Pump Space Heating</t>
  </si>
  <si>
    <t>Change in # HPWHs</t>
  </si>
  <si>
    <t>Change in # Misc. Elec. End Uses</t>
  </si>
  <si>
    <t>Incremental Carbon Footprint</t>
  </si>
  <si>
    <t>Cumulative Change in Carbon Footprint</t>
  </si>
  <si>
    <t>Number of occupied mixed fuel homes</t>
  </si>
  <si>
    <t>Carbon Footprint</t>
  </si>
  <si>
    <t># Rental units</t>
  </si>
  <si>
    <t>Annual home resales</t>
  </si>
  <si>
    <t># Major Renovations</t>
  </si>
  <si>
    <t>Start year existing homes plus new construction</t>
  </si>
  <si>
    <t>Maintain constant proportion of rentals to total occupied units</t>
  </si>
  <si>
    <t>Maintain constant market penetration</t>
  </si>
  <si>
    <t>All homes mixed fuel</t>
  </si>
  <si>
    <t>All new homes get AC</t>
  </si>
  <si>
    <t>All homes have misc elec</t>
  </si>
  <si>
    <t>Maintain constant fraction resales</t>
  </si>
  <si>
    <t>Maintain constant renovation rate</t>
  </si>
  <si>
    <t>Back to Policy Impact Dashboard</t>
  </si>
  <si>
    <t>Assessment trigger</t>
  </si>
  <si>
    <t>Resale and Rental</t>
  </si>
  <si>
    <t>Assessment fee</t>
  </si>
  <si>
    <t>Improve whole house EE by (%)</t>
  </si>
  <si>
    <t>City inspector or Third Party?</t>
  </si>
  <si>
    <t>City Inspector</t>
  </si>
  <si>
    <t>Disclosure point</t>
  </si>
  <si>
    <t>Listing</t>
  </si>
  <si>
    <t>Conversion rate: assessment to upgrade</t>
  </si>
  <si>
    <t>Energy Assessment and Disclosure Outcomes</t>
  </si>
  <si>
    <t>Number of covered housing units</t>
  </si>
  <si>
    <t>Number of annual energy assessments</t>
  </si>
  <si>
    <t>Conversions, assessment to upgrade</t>
  </si>
  <si>
    <t>Annual kWh savings per assessed home</t>
  </si>
  <si>
    <t>Annual Therm savings per assessed home</t>
  </si>
  <si>
    <t>Annual GHG reductions per assessed home</t>
  </si>
  <si>
    <t>Annual bill savings per home</t>
  </si>
  <si>
    <t>Total Energy Assessment Environmental Impacts</t>
  </si>
  <si>
    <t>Annual electricity savings (MWh)</t>
  </si>
  <si>
    <t>Annual gas savings (Mtherms)</t>
  </si>
  <si>
    <t>Annual GHG reductions  (Mt CO2e)</t>
  </si>
  <si>
    <t>Number of Covered Mixed Fuel Homes</t>
  </si>
  <si>
    <t>Number of Assessments</t>
  </si>
  <si>
    <t>Number of Upgrades</t>
  </si>
  <si>
    <t>Gas efficiency gains</t>
  </si>
  <si>
    <t>Electric efficiency gains</t>
  </si>
  <si>
    <t>Electrification Change in Therms</t>
  </si>
  <si>
    <t>Electrification Change in kWh</t>
  </si>
  <si>
    <t>Furnace only</t>
  </si>
  <si>
    <t>Furnace + AC</t>
  </si>
  <si>
    <t>Accounting for NC Reach Code Impacts</t>
  </si>
  <si>
    <t>Add AC to homes (Via HP at the rate of mixed fuel homes lacking AC (from NC Reach Code Impacts)</t>
  </si>
  <si>
    <t>1 for 1 replacement</t>
  </si>
  <si>
    <t>Furnace replacement</t>
  </si>
  <si>
    <t>DHW replacement</t>
  </si>
  <si>
    <t>Inspection trigger</t>
  </si>
  <si>
    <t>Equipment Replacement</t>
  </si>
  <si>
    <t>Inspection fee</t>
  </si>
  <si>
    <t>Equipment Replacement Outcomes</t>
  </si>
  <si>
    <t>Number of covered equipment change-outs</t>
  </si>
  <si>
    <t>Number of annual home inspections</t>
  </si>
  <si>
    <t>Annual City Inspection Revenue</t>
  </si>
  <si>
    <t>Performance improvement</t>
  </si>
  <si>
    <t>Annual kWh savings per home</t>
  </si>
  <si>
    <t>Annual Therm savings per home</t>
  </si>
  <si>
    <t>Annual GHG reductions per home</t>
  </si>
  <si>
    <t>Change Relative to Energy Assessment</t>
  </si>
  <si>
    <t>Number of Covered Replacement Events</t>
  </si>
  <si>
    <t>Number of Inspections</t>
  </si>
  <si>
    <t>Unabated Emissions</t>
  </si>
  <si>
    <t>2. Energy Assessment</t>
  </si>
  <si>
    <t>1. Code Compliance</t>
  </si>
  <si>
    <t xml:space="preserve">New Construction Reach Code </t>
  </si>
  <si>
    <t>Grid Electricity Emissions Factor (Mt eCO2 / MWh)</t>
  </si>
  <si>
    <t>Validation NC</t>
  </si>
  <si>
    <t>Validation NC+Assess</t>
  </si>
  <si>
    <t>Validation ROB</t>
  </si>
  <si>
    <t>Validation Renovation</t>
  </si>
  <si>
    <t>Validation BPS</t>
  </si>
  <si>
    <t>Validation EOF</t>
  </si>
  <si>
    <t>Rental</t>
  </si>
  <si>
    <t>Inspect rentals every</t>
  </si>
  <si>
    <t>years</t>
  </si>
  <si>
    <t>Improve code compliance from</t>
  </si>
  <si>
    <t>to</t>
  </si>
  <si>
    <t>Code Compliance Outcomes</t>
  </si>
  <si>
    <t>Improve code compliance</t>
  </si>
  <si>
    <t># Central AC code compliance outcomes</t>
  </si>
  <si>
    <t># Gas furnace code compliance outcomes</t>
  </si>
  <si>
    <t># gas DHW code compliance outcomes</t>
  </si>
  <si>
    <t>Code Compliance Environmental Impacts per Home</t>
  </si>
  <si>
    <t>Total Code Compliance Environmental Impacts</t>
  </si>
  <si>
    <t>Health and Safety corrections</t>
  </si>
  <si>
    <t>No CO monitors</t>
  </si>
  <si>
    <t>Mold</t>
  </si>
  <si>
    <t>Interior pipe leaks</t>
  </si>
  <si>
    <t>Space heating issues</t>
  </si>
  <si>
    <t>Exposed electrical wiring</t>
  </si>
  <si>
    <t>Overloaded circuits</t>
  </si>
  <si>
    <t>All gas end uses</t>
  </si>
  <si>
    <t>Building Renovation Outcomes</t>
  </si>
  <si>
    <t>Electric Utility</t>
  </si>
  <si>
    <t>Gas Utility</t>
  </si>
  <si>
    <t>Inspection Trigger</t>
  </si>
  <si>
    <t>Assessment Inspector</t>
  </si>
  <si>
    <t>Equipment Replacement Trigger</t>
  </si>
  <si>
    <t>Assessment Disclosure Point</t>
  </si>
  <si>
    <t>Performance Trigger</t>
  </si>
  <si>
    <t>Alameda Municipal Power</t>
  </si>
  <si>
    <t>City of Palo Alto Utilities</t>
  </si>
  <si>
    <t>Home resale</t>
  </si>
  <si>
    <t>Date Certain-Rentals Only</t>
  </si>
  <si>
    <t>Pacific Gas &amp; Electric</t>
  </si>
  <si>
    <t>Third Party</t>
  </si>
  <si>
    <t>Date Certain-All Homes</t>
  </si>
  <si>
    <t>Clean Power SF</t>
  </si>
  <si>
    <t>Propane</t>
  </si>
  <si>
    <t>East Bay Community Energy</t>
  </si>
  <si>
    <t>Major renovation</t>
  </si>
  <si>
    <t>Healdsburg Electric Dept.</t>
  </si>
  <si>
    <t>MCE Clean Energy</t>
  </si>
  <si>
    <t>1 and 2</t>
  </si>
  <si>
    <t>2 and 3</t>
  </si>
  <si>
    <t>Permit Application</t>
  </si>
  <si>
    <t>Peninsula Clean Energy</t>
  </si>
  <si>
    <t>2 to 4</t>
  </si>
  <si>
    <t>Closing</t>
  </si>
  <si>
    <t>Lease</t>
  </si>
  <si>
    <t>Closing or Lease</t>
  </si>
  <si>
    <t>San Jose Clean Energy</t>
  </si>
  <si>
    <t>3 and 12</t>
  </si>
  <si>
    <t>Santa Clara Utilities</t>
  </si>
  <si>
    <t>Silicon Valley Clean Energy</t>
  </si>
  <si>
    <t>Sonoma Clean Power</t>
  </si>
  <si>
    <t>Compliance trigger</t>
  </si>
  <si>
    <t>Building Performance Standards Outcomes</t>
  </si>
  <si>
    <t>Number of all electric homes</t>
  </si>
  <si>
    <t>Carbon from Gas</t>
  </si>
  <si>
    <t>Carbon from Electric</t>
  </si>
  <si>
    <t>Building Renovation</t>
  </si>
  <si>
    <t>Cumulative Change in Gas Carbon Footprint</t>
  </si>
  <si>
    <t>Source</t>
  </si>
  <si>
    <t>Mt CO2e / MWh</t>
  </si>
  <si>
    <t>https://www.alamedamp.com/336/Power-Content-Label</t>
  </si>
  <si>
    <t>Mt CO2e / Therm</t>
  </si>
  <si>
    <t>https://www.cityofpaloalto.org/Departments/Utilities/Sustainability/Carbon-Neutral-Electricity-and-Natural-Gas/Power-Content-Label</t>
  </si>
  <si>
    <t xml:space="preserve">CPAU buys 100% unbundled RECs to offset gas emissions and support claim of carbon neutral gas. </t>
  </si>
  <si>
    <t>https://www.cleanpowersf.org/energysources</t>
  </si>
  <si>
    <t>https://ebce.org/our-power-mix/</t>
  </si>
  <si>
    <t>https://www.ci.healdsburg.ca.us/231/Power-Content-Label-and-Energy-Mix</t>
  </si>
  <si>
    <t>https://www.mcecleanenergy.org/wp-content/uploads/2020/10/MCE-2019-Power-Content-Label.pdf</t>
  </si>
  <si>
    <t>http://www.pgecorp.com/corp_responsibility/reports/2019/en02_climate_change.html</t>
  </si>
  <si>
    <t>https://www.peninsulacleanenergy.com/power-mix/</t>
  </si>
  <si>
    <t>https://sanjosecleanenergy.org/wp-content/uploads/2020/12/2019-Power-Content-Label-San-Jose-Clean-Energy-SJCE.pdf</t>
  </si>
  <si>
    <t>https://www.svcleanenergy.org/wp-content/uploads/2020/02/Power-Content-Label-2019-Res.pdf</t>
  </si>
  <si>
    <t>Silicon Valley Power</t>
  </si>
  <si>
    <t>https://www.siliconvalleypower.com/svp-and-community/about-svp/power-content-label</t>
  </si>
  <si>
    <t>https://sonomacleanpower.org/uploads/documents/Power-Content-Label-2019-Web.pdf</t>
  </si>
  <si>
    <t xml:space="preserve">1 metric ton = </t>
  </si>
  <si>
    <t>pounds</t>
  </si>
  <si>
    <t>Natural gas generation produces</t>
  </si>
  <si>
    <t>pounds eCO2 / kWh</t>
  </si>
  <si>
    <t>https://www.eia.gov/tools/faqs/faq.php?id=74&amp;t=11</t>
  </si>
  <si>
    <t>Alameda</t>
  </si>
  <si>
    <t>Albany</t>
  </si>
  <si>
    <t>American Canyon</t>
  </si>
  <si>
    <t>Napa</t>
  </si>
  <si>
    <t>Antioch</t>
  </si>
  <si>
    <t>Contra Costa</t>
  </si>
  <si>
    <t>Atherton</t>
  </si>
  <si>
    <t>San Mateo</t>
  </si>
  <si>
    <t>Belmont</t>
  </si>
  <si>
    <t>Belvedere</t>
  </si>
  <si>
    <t>Marin</t>
  </si>
  <si>
    <t>Benicia</t>
  </si>
  <si>
    <t>Solano</t>
  </si>
  <si>
    <t>Berkeley</t>
  </si>
  <si>
    <t>Brentwood</t>
  </si>
  <si>
    <t>Brisbane</t>
  </si>
  <si>
    <t>Burlingame</t>
  </si>
  <si>
    <t>Calistoga</t>
  </si>
  <si>
    <t>Campbell</t>
  </si>
  <si>
    <t>Clayton</t>
  </si>
  <si>
    <t>Cloverdale</t>
  </si>
  <si>
    <t>Sonoma</t>
  </si>
  <si>
    <t>Colma</t>
  </si>
  <si>
    <t>Concord</t>
  </si>
  <si>
    <t>Corte Madera</t>
  </si>
  <si>
    <t>Cotati</t>
  </si>
  <si>
    <t>Cupertino</t>
  </si>
  <si>
    <t>Daly City</t>
  </si>
  <si>
    <t>Danville</t>
  </si>
  <si>
    <t>Dixon</t>
  </si>
  <si>
    <t>Dublin</t>
  </si>
  <si>
    <t>East Palo Alto</t>
  </si>
  <si>
    <t>El Cerrito</t>
  </si>
  <si>
    <t>Emeryville</t>
  </si>
  <si>
    <t>Fairfax</t>
  </si>
  <si>
    <t>Fairfield</t>
  </si>
  <si>
    <t>Foster City</t>
  </si>
  <si>
    <t>Fremont</t>
  </si>
  <si>
    <t>Gilroy</t>
  </si>
  <si>
    <t>Half Moon Bay</t>
  </si>
  <si>
    <t>Hayward</t>
  </si>
  <si>
    <t>Healdsburg</t>
  </si>
  <si>
    <t>Hercules</t>
  </si>
  <si>
    <t>Hillsborough</t>
  </si>
  <si>
    <t>Lafayette</t>
  </si>
  <si>
    <t>Larkspur</t>
  </si>
  <si>
    <t>Livermore</t>
  </si>
  <si>
    <t>Los Altos</t>
  </si>
  <si>
    <t>Los Altos Hills</t>
  </si>
  <si>
    <t>Los Gatos</t>
  </si>
  <si>
    <t>Martinez</t>
  </si>
  <si>
    <t>Menlo Park</t>
  </si>
  <si>
    <t>Mill Valley</t>
  </si>
  <si>
    <t>Millbrae</t>
  </si>
  <si>
    <t>Milpitas</t>
  </si>
  <si>
    <t>Monte Sereno</t>
  </si>
  <si>
    <t>Moraga</t>
  </si>
  <si>
    <t>Morgan Hill</t>
  </si>
  <si>
    <t>Mountain View</t>
  </si>
  <si>
    <t>Newark</t>
  </si>
  <si>
    <t>Novato</t>
  </si>
  <si>
    <t>Oakland</t>
  </si>
  <si>
    <t>Oakley</t>
  </si>
  <si>
    <t>Orinda</t>
  </si>
  <si>
    <t>Pacifica</t>
  </si>
  <si>
    <t>Palo Alto</t>
  </si>
  <si>
    <t>Petaluma</t>
  </si>
  <si>
    <t>Piedmont</t>
  </si>
  <si>
    <t>Pinole</t>
  </si>
  <si>
    <t>Pittsburg</t>
  </si>
  <si>
    <t>Pleasant Hill</t>
  </si>
  <si>
    <t>Pleasanton</t>
  </si>
  <si>
    <t>Portola Valley</t>
  </si>
  <si>
    <t>Redwood City</t>
  </si>
  <si>
    <t>Richmond</t>
  </si>
  <si>
    <t>Rio Vista</t>
  </si>
  <si>
    <t>Rohnert Park</t>
  </si>
  <si>
    <t>Ross</t>
  </si>
  <si>
    <t>Saint Helena</t>
  </si>
  <si>
    <t>San Anselmo</t>
  </si>
  <si>
    <t>San Bruno</t>
  </si>
  <si>
    <t>San Carlos</t>
  </si>
  <si>
    <t>San Francisco</t>
  </si>
  <si>
    <t>San Leandro</t>
  </si>
  <si>
    <t>San Pablo</t>
  </si>
  <si>
    <t>San Rafael</t>
  </si>
  <si>
    <t>San Ramon</t>
  </si>
  <si>
    <t>Santa Rosa</t>
  </si>
  <si>
    <t>Saratoga</t>
  </si>
  <si>
    <t>Sausalito</t>
  </si>
  <si>
    <t>Sebastopol</t>
  </si>
  <si>
    <t>South San Francisco</t>
  </si>
  <si>
    <t>Suisun City</t>
  </si>
  <si>
    <t>Sunnyvale</t>
  </si>
  <si>
    <t>Tiburon</t>
  </si>
  <si>
    <t>Union City</t>
  </si>
  <si>
    <t>Vacaville</t>
  </si>
  <si>
    <t>Vallejo</t>
  </si>
  <si>
    <t>Walnut Creek</t>
  </si>
  <si>
    <t>Windsor</t>
  </si>
  <si>
    <t>Woodside</t>
  </si>
  <si>
    <t>Yountville</t>
  </si>
  <si>
    <t>z-Ininc. Alameda</t>
  </si>
  <si>
    <t>z-Ininc. Contra Costa</t>
  </si>
  <si>
    <t>z-Ininc. Marin</t>
  </si>
  <si>
    <t>z-Ininc. Napa</t>
  </si>
  <si>
    <t>z-Ininc. San Mateo</t>
  </si>
  <si>
    <t>z-Ininc. Santa Clara</t>
  </si>
  <si>
    <t>z-Ininc. Solano</t>
  </si>
  <si>
    <t>z-Ininc. Sonoma</t>
  </si>
  <si>
    <t>Row</t>
  </si>
  <si>
    <t xml:space="preserve">Solano </t>
  </si>
  <si>
    <t>St Helena</t>
  </si>
  <si>
    <t>z-All Napa</t>
  </si>
  <si>
    <t>z-All Solano</t>
  </si>
  <si>
    <t xml:space="preserve">Sonoma </t>
  </si>
  <si>
    <t>z-All Sonoma</t>
  </si>
  <si>
    <t>z-All Marin</t>
  </si>
  <si>
    <t>z-All Alameda</t>
  </si>
  <si>
    <t>z-All Santa Clara</t>
  </si>
  <si>
    <t>z-All Contra Costa</t>
  </si>
  <si>
    <t>z-All San Mateo</t>
  </si>
  <si>
    <t>File</t>
  </si>
  <si>
    <t>Total                      </t>
  </si>
  <si>
    <t>1, detached                </t>
  </si>
  <si>
    <t>1, attached                </t>
  </si>
  <si>
    <t>2 to 4 Units               </t>
  </si>
  <si>
    <t>Condominiums</t>
  </si>
  <si>
    <t>SF-Oak</t>
  </si>
  <si>
    <t>Table0</t>
  </si>
  <si>
    <t>Warm-air furnace</t>
  </si>
  <si>
    <t>Central Air Conditioning</t>
  </si>
  <si>
    <t>Room air conditioning</t>
  </si>
  <si>
    <t>H2o: piped or bottled gas</t>
  </si>
  <si>
    <t>Table15</t>
  </si>
  <si>
    <t>All occupied units</t>
  </si>
  <si>
    <t>Table3</t>
  </si>
  <si>
    <t>% Owner occupied</t>
  </si>
  <si>
    <t>% renters</t>
  </si>
  <si>
    <t>Gut Rehab in Last 10 Yrs</t>
  </si>
  <si>
    <t>Home improvement within last 2 years</t>
  </si>
  <si>
    <t>SJ</t>
  </si>
  <si>
    <t>Table5</t>
  </si>
  <si>
    <t>2020 Occupied</t>
  </si>
  <si>
    <t>1, detached</t>
  </si>
  <si>
    <t>1, attached</t>
  </si>
  <si>
    <t>2 to 4 Units</t>
  </si>
  <si>
    <t>2010 Total SF</t>
  </si>
  <si>
    <t>2020 Total SF</t>
  </si>
  <si>
    <t>Single Detached</t>
  </si>
  <si>
    <t>Single Attached</t>
  </si>
  <si>
    <t>Two to Four</t>
  </si>
  <si>
    <t>Vacancy Rate</t>
  </si>
  <si>
    <t>10 Year Change (%)</t>
  </si>
  <si>
    <t xml:space="preserve">Alameda </t>
  </si>
  <si>
    <t xml:space="preserve">Napa </t>
  </si>
  <si>
    <t xml:space="preserve">Contra Costa </t>
  </si>
  <si>
    <t xml:space="preserve">San Mateo </t>
  </si>
  <si>
    <t xml:space="preserve">Marin </t>
  </si>
  <si>
    <t xml:space="preserve">Santa Clara </t>
  </si>
  <si>
    <t>Annual Home Sales</t>
  </si>
  <si>
    <t>Number of covered furnace-only replacements</t>
  </si>
  <si>
    <t>Number of covered DHW replacements</t>
  </si>
  <si>
    <t>Number of covered Furnace+AC replacements</t>
  </si>
  <si>
    <t>Replacement requirement applies to:</t>
  </si>
  <si>
    <t>Total change in # Gas furnace units</t>
  </si>
  <si>
    <t>Number of occupied mixed fuel homes lacking upgrades</t>
  </si>
  <si>
    <t xml:space="preserve"> Years to 100% Market Penetration</t>
  </si>
  <si>
    <t>Required Renovation Scope</t>
  </si>
  <si>
    <t>Efficiency upgrades</t>
  </si>
  <si>
    <t>Furnace electrification</t>
  </si>
  <si>
    <t>Whole house electrification</t>
  </si>
  <si>
    <t>Zero emissions buildings goal</t>
  </si>
  <si>
    <t>Zero emissions electricity deadline</t>
  </si>
  <si>
    <t>Zero Emissions Building Goal</t>
  </si>
  <si>
    <t>Annual Geometric Growth Rate</t>
  </si>
  <si>
    <t>Impacts due to EE</t>
  </si>
  <si>
    <t>Impacts due to Electrification</t>
  </si>
  <si>
    <t>Annual GHG reductions per home (Mt CO2e)</t>
  </si>
  <si>
    <t>Energy Assessment Environmental Impacts per Assessed Home</t>
  </si>
  <si>
    <t>Gas furnace UEC</t>
  </si>
  <si>
    <t>Gas DHW UEC</t>
  </si>
  <si>
    <t>Misc. Gas End Use UEC</t>
  </si>
  <si>
    <t>Central AC unit UEC</t>
  </si>
  <si>
    <t>Heat Pump Space Heating UEC</t>
  </si>
  <si>
    <t>HPWH UEC</t>
  </si>
  <si>
    <t>Misc. Elec. End Use UEC</t>
  </si>
  <si>
    <t>Performance improvement per home</t>
  </si>
  <si>
    <t>5. Performance Standards</t>
  </si>
  <si>
    <t>4. Upgrade at Major Renovation</t>
  </si>
  <si>
    <t>3. Upgrade at Equip't Replacem't</t>
  </si>
  <si>
    <t># AC Upgrades</t>
  </si>
  <si>
    <t># Furnace upgrades</t>
  </si>
  <si>
    <t>#DHW upgrades</t>
  </si>
  <si>
    <t># Misc Gas upgrades</t>
  </si>
  <si>
    <t># HP upgrades</t>
  </si>
  <si>
    <t>#HPWH upgrades</t>
  </si>
  <si>
    <t># Misc Elec Upgrades</t>
  </si>
  <si>
    <t>Inefficient ACs</t>
  </si>
  <si>
    <t>Inefficient Furnace</t>
  </si>
  <si>
    <t>Inefficient DHW</t>
  </si>
  <si>
    <t>Inefficient Misc Gas</t>
  </si>
  <si>
    <t>Inefficient AC</t>
  </si>
  <si>
    <t>Inefficient HP</t>
  </si>
  <si>
    <t>Inefficient HPWH</t>
  </si>
  <si>
    <t>Inefficient Misc Elec</t>
  </si>
  <si>
    <t>Compared to existing homes, new homes use</t>
  </si>
  <si>
    <t>as much energy</t>
  </si>
  <si>
    <t>New # Gas furnace units</t>
  </si>
  <si>
    <t>New # Gas DHW units</t>
  </si>
  <si>
    <t>New # Misc. Gas End Uses</t>
  </si>
  <si>
    <t>New # Central AC units</t>
  </si>
  <si>
    <t>New # Heat Pump Space Heating</t>
  </si>
  <si>
    <t>New # HPWHs</t>
  </si>
  <si>
    <t>New # Misc. Elec. End Uses</t>
  </si>
  <si>
    <t>Existing # Gas furnace units</t>
  </si>
  <si>
    <t>Existing # Gas DHW units</t>
  </si>
  <si>
    <t>Existing # Misc. Gas End Uses</t>
  </si>
  <si>
    <t>Existing # Central AC units</t>
  </si>
  <si>
    <t>Existing # Heat Pump Space Heating</t>
  </si>
  <si>
    <t>Existing # HPWHs</t>
  </si>
  <si>
    <t>Existing # Misc. Elec. End Uses</t>
  </si>
  <si>
    <t>Existing Furnace only</t>
  </si>
  <si>
    <t>Existing Furnace + AC</t>
  </si>
  <si>
    <t>Number of Units</t>
  </si>
  <si>
    <t xml:space="preserve">Unabated GHG emissions graphic: smoke from the Bobcat fire in Los Angeles, California, U.S., September 10, 2020. Mario Anzuoni/Reuters </t>
  </si>
  <si>
    <t>Default</t>
  </si>
  <si>
    <t>User Input</t>
  </si>
  <si>
    <t>Number of annual appliance permit inspections</t>
  </si>
  <si>
    <t>Annual City Permit Revenue</t>
  </si>
  <si>
    <t>Permit fee</t>
  </si>
  <si>
    <t xml:space="preserve"> </t>
  </si>
  <si>
    <t>Customize Appliance Inputs</t>
  </si>
  <si>
    <t>Customize Housing Stock Inputs</t>
  </si>
  <si>
    <t>Conversion rate: user input</t>
  </si>
  <si>
    <t>Upgrades improve whole house EE by (%)</t>
  </si>
  <si>
    <t>Fraction of Upgrades that include voluntary electrification measures</t>
  </si>
  <si>
    <t>Water heater replacement</t>
  </si>
  <si>
    <t>Furnace replacement with AC replacement or addition</t>
  </si>
  <si>
    <t>Water heater electrification</t>
  </si>
  <si>
    <t>Default number of affected renovation projects, annual</t>
  </si>
  <si>
    <t>Annual Linear Growth Rate</t>
  </si>
  <si>
    <t>Change in # New All Electric Homes</t>
  </si>
  <si>
    <t># Existing Gas furnace replacements</t>
  </si>
  <si>
    <t># Existing Gas DHW replacements</t>
  </si>
  <si>
    <t># Existing Misc. Gas End Use Replacements</t>
  </si>
  <si>
    <t># Existing Central AC replacements</t>
  </si>
  <si>
    <t># Existing Heat Pump Space Heating replacements</t>
  </si>
  <si>
    <t># Existing HPWH replacements</t>
  </si>
  <si>
    <t># Existing Misc. Elec. End Use replacements</t>
  </si>
  <si>
    <t>Initial New Equipment Stock</t>
  </si>
  <si>
    <t>Initial Existing Equipment Stock</t>
  </si>
  <si>
    <t>Final New Equipment Stock</t>
  </si>
  <si>
    <t>Final Existing Equipment Stock</t>
  </si>
  <si>
    <t>Existing Equipment Replacement Rate</t>
  </si>
  <si>
    <t>Existing Equipment</t>
  </si>
  <si>
    <t>New Equipment</t>
  </si>
  <si>
    <t>Electrification Changes</t>
  </si>
  <si>
    <t>Energy Efficiency Changes</t>
  </si>
  <si>
    <t>Inefficient Existing Appliance Stock</t>
  </si>
  <si>
    <t>Total change in # New Gas furnace units</t>
  </si>
  <si>
    <t>Total change in # Existing Gas furnace units</t>
  </si>
  <si>
    <t>Total change in # New Gas DHW units</t>
  </si>
  <si>
    <t>Total change in # Existing Gas DHW units</t>
  </si>
  <si>
    <t>AC UEC (kWh) @ 10 SEER</t>
  </si>
  <si>
    <r>
      <t>2.</t>
    </r>
    <r>
      <rPr>
        <sz val="7"/>
        <color theme="1"/>
        <rFont val="Times New Roman"/>
        <family val="1"/>
      </rPr>
      <t xml:space="preserve">      </t>
    </r>
    <r>
      <rPr>
        <b/>
        <sz val="11"/>
        <color theme="1"/>
        <rFont val="Calibri"/>
        <family val="2"/>
        <scheme val="minor"/>
      </rPr>
      <t xml:space="preserve">Energy Assessment &amp; Disclosure: </t>
    </r>
    <r>
      <rPr>
        <sz val="11"/>
        <color theme="1"/>
        <rFont val="Calibri"/>
        <family val="2"/>
        <scheme val="minor"/>
      </rPr>
      <t>Requires an energy assessment and disclosure to improve consumer transparency about the energy efficiency, comfort, and costs associated with operating a home, promoting more sound home purchasing and upgrade decisions.</t>
    </r>
  </si>
  <si>
    <r>
      <t>5.</t>
    </r>
    <r>
      <rPr>
        <sz val="7"/>
        <color theme="1"/>
        <rFont val="Times New Roman"/>
        <family val="1"/>
      </rPr>
      <t xml:space="preserve">      </t>
    </r>
    <r>
      <rPr>
        <b/>
        <sz val="11"/>
        <color theme="1"/>
        <rFont val="Calibri"/>
        <family val="2"/>
        <scheme val="minor"/>
      </rPr>
      <t>Building Performance Standards:</t>
    </r>
    <r>
      <rPr>
        <sz val="11"/>
        <color theme="1"/>
        <rFont val="Calibri"/>
        <family val="2"/>
        <scheme val="minor"/>
      </rPr>
      <t xml:space="preserve"> Requirements for appliance upgrades or related energy improvements that must be accomplished by a date certain</t>
    </r>
  </si>
  <si>
    <r>
      <t>·</t>
    </r>
    <r>
      <rPr>
        <sz val="7"/>
        <color theme="1"/>
        <rFont val="Times New Roman"/>
        <family val="1"/>
      </rPr>
      <t xml:space="preserve">        </t>
    </r>
    <r>
      <rPr>
        <b/>
        <sz val="11"/>
        <color theme="1"/>
        <rFont val="Calibri"/>
        <family val="2"/>
        <scheme val="minor"/>
      </rPr>
      <t xml:space="preserve">New Home Reach Code or All-Electric Ordinance: </t>
    </r>
    <r>
      <rPr>
        <sz val="11"/>
        <color theme="1"/>
        <rFont val="Calibri"/>
        <family val="2"/>
        <scheme val="minor"/>
      </rPr>
      <t>Today’s new home is tomorrow’s existing home. The adoption of aggressive performance standards for new construction is an effective method for minimizing the need to retrofit those homes in the future.</t>
    </r>
    <r>
      <rPr>
        <sz val="11"/>
        <color theme="1"/>
        <rFont val="Symbol"/>
        <family val="1"/>
        <charset val="2"/>
      </rPr>
      <t xml:space="preserve"> </t>
    </r>
    <r>
      <rPr>
        <sz val="11"/>
        <color theme="1"/>
        <rFont val="Calibri"/>
        <family val="2"/>
        <scheme val="minor"/>
      </rPr>
      <t>Note: this calculator focuses on existing building policies, therefore customization for a new construction reach code is not available. If the user selects a new construction ordinance then new homes will be excluded from the housing stock applicable for existing building policies. However, if there is not new construction reach code, new homes will be applicable to existing building policies.</t>
    </r>
  </si>
  <si>
    <r>
      <t>·</t>
    </r>
    <r>
      <rPr>
        <sz val="7"/>
        <color theme="1"/>
        <rFont val="Times New Roman"/>
        <family val="1"/>
      </rPr>
      <t xml:space="preserve">        </t>
    </r>
    <r>
      <rPr>
        <b/>
        <sz val="11"/>
        <color theme="1"/>
        <rFont val="Calibri"/>
        <family val="2"/>
        <scheme val="minor"/>
      </rPr>
      <t>End of Flow:</t>
    </r>
    <r>
      <rPr>
        <sz val="11"/>
        <color theme="1"/>
        <rFont val="Calibri"/>
        <family val="2"/>
        <scheme val="minor"/>
      </rPr>
      <t xml:space="preserve"> To meet California’s climate action goals and limit global climate damage, communities will eventually need to limit or stop delivering piped fossil fuels to retail customers. If selected, this option models zero natural gas being used in the existing single family sector at a date-certain.</t>
    </r>
  </si>
  <si>
    <t>Users will begin by selecting their jurisdiction and policy option(s) that they wish to explore. They will proceed through each sheet in the workbook to customize the policies as they choose and observe the potential impacts on the Policy Impact Dashboard. Detailed steps for using the tool are provided below.</t>
  </si>
  <si>
    <t>User Inputs - Color Coding</t>
  </si>
  <si>
    <r>
      <t>·</t>
    </r>
    <r>
      <rPr>
        <sz val="7"/>
        <color theme="1"/>
        <rFont val="Times New Roman"/>
        <family val="1"/>
      </rPr>
      <t xml:space="preserve">        </t>
    </r>
    <r>
      <rPr>
        <b/>
        <sz val="11"/>
        <color theme="1"/>
        <rFont val="Calibri"/>
        <family val="2"/>
        <scheme val="minor"/>
      </rPr>
      <t>New Home Reach Code or All-Electric Ordinance:</t>
    </r>
    <r>
      <rPr>
        <sz val="11"/>
        <color theme="1"/>
        <rFont val="Calibri"/>
        <family val="2"/>
        <scheme val="minor"/>
      </rPr>
      <t xml:space="preserve"> Percentage of new homes that are all-electric</t>
    </r>
    <r>
      <rPr>
        <sz val="11"/>
        <color theme="1"/>
        <rFont val="Symbol"/>
        <family val="1"/>
        <charset val="2"/>
      </rPr>
      <t xml:space="preserve">. </t>
    </r>
  </si>
  <si>
    <r>
      <t>·</t>
    </r>
    <r>
      <rPr>
        <sz val="7"/>
        <color theme="1"/>
        <rFont val="Times New Roman"/>
        <family val="1"/>
      </rPr>
      <t xml:space="preserve">        </t>
    </r>
    <r>
      <rPr>
        <b/>
        <sz val="11"/>
        <color theme="1"/>
        <rFont val="Calibri"/>
        <family val="2"/>
        <scheme val="minor"/>
      </rPr>
      <t>Code Compliance:</t>
    </r>
    <r>
      <rPr>
        <sz val="11"/>
        <color theme="1"/>
        <rFont val="Calibri"/>
        <family val="2"/>
        <scheme val="minor"/>
      </rPr>
      <t xml:space="preserve"> Percentage of permitted installations</t>
    </r>
    <r>
      <rPr>
        <sz val="11"/>
        <color theme="1"/>
        <rFont val="Symbol"/>
        <family val="1"/>
        <charset val="2"/>
      </rPr>
      <t xml:space="preserve">. </t>
    </r>
  </si>
  <si>
    <r>
      <t xml:space="preserve">Step 6 (optional). </t>
    </r>
    <r>
      <rPr>
        <sz val="11"/>
        <color theme="1"/>
        <rFont val="Calibri"/>
        <family val="2"/>
        <scheme val="minor"/>
      </rPr>
      <t>Set policy parameters for selected policy options. Click on the policy titles in cells A9 to A13 to navigate to separate tabs for each policy in which parameters are specified and impacts are calculated.</t>
    </r>
    <r>
      <rPr>
        <b/>
        <sz val="11"/>
        <color theme="1"/>
        <rFont val="Calibri"/>
        <family val="2"/>
        <scheme val="minor"/>
      </rPr>
      <t xml:space="preserve"> The dashboard will calculate policy impacts using default values if you do not customize the policy sheets. However, customization will lead to more accurate and jurisdiction-specific modeling results. </t>
    </r>
    <r>
      <rPr>
        <sz val="11"/>
        <color theme="1"/>
        <rFont val="Calibri"/>
        <family val="2"/>
        <scheme val="minor"/>
      </rPr>
      <t>Further explanations and instructions are provided in each policy sheet.</t>
    </r>
  </si>
  <si>
    <t>Application fee</t>
  </si>
  <si>
    <t>Annual City Revenue</t>
  </si>
  <si>
    <t>A jurisdiction may require that all homes be upgraded to a minimum energy efficiency by a date-certain. An example of this can be seen in Boulder, CO where all rental properties had 8-years to improve their efficiency.</t>
  </si>
  <si>
    <t>Total # Gas furnace units</t>
  </si>
  <si>
    <t>Total # Gas DHW units</t>
  </si>
  <si>
    <t>Number of covered housing units: user input</t>
  </si>
  <si>
    <t>Other</t>
  </si>
  <si>
    <t>Performance Standards</t>
  </si>
  <si>
    <t>Local governments are primarily responsible for permit enforcement, including building energy standards under CCR Title 24, Parts 6 and 11. Permits are required for many energy efficiency improvements, including hot water heaters; insulation; heating, ventilation, and air conditioning (HVAC) systems; duct replacement; and more. However, permit evasion remains an issue in many jurisdicitions, with permitted HVAC systems only accounting for 8-29% of total installations according to a 2017 DNV-GL report on behalf of the PUC. Several cities, such as Davis, CA and Minneapolis, MN have passed Code Compliance policies that inspect permit and renovation history and charge fees for non-compliance. These have shown to increase permitted work significantly.</t>
  </si>
  <si>
    <t>Note: code compliance policies do not have modeled energy and environmental impacts. Studies show little performance difference between permitted and unpermitted work for code minimum improvements. However, this policy will increase the impact and benefits of above code policies, as unpermitted work that meets minimum code requirements instead of exceeding code may be more common.</t>
  </si>
  <si>
    <t>Note: since permit evasion is a concern for most jurisdictions, the impacts of this policy increase when paired with policy 1-code compliance</t>
  </si>
  <si>
    <t>A jurisdiction may consider requiring a prescriptive menu of energy efficiency or electrification measures or mandate specific measures around the time of a major renovation of existing buildings. A major renovation may be defined by the cost or scope of the project. Depending on how many homes in a jurisdiction undergo major renovations within a year, this could have a greater impact than a time of sale metric. However, it may not lead to deep energy retrofits if the low-hanging fruit options are consistently chosen. The cities of Piedmont and Carlsbad, CA have adopted such policies and include a performance path where a home may opt out of the mandate if a minimum Home Energy Score is achieved. This acknowledges the energy efficiency upgrades of homes that have already been improved.</t>
  </si>
  <si>
    <t>Trigger point</t>
  </si>
  <si>
    <t>Value ($, ft2, other)</t>
  </si>
  <si>
    <t># Permits annually</t>
  </si>
  <si>
    <t>% Projects over valuation</t>
  </si>
  <si>
    <t>Number of affected projects annually</t>
  </si>
  <si>
    <t>Housing stock information and utility data are auto-populated based on the jurisdiction selected. These values appear in the blue cells. If a user has data that they prefer to use, it can be entered into the yellow cells, which will then carry over to elsewhere in the spreadsheet where these values are used.</t>
  </si>
  <si>
    <t>Appliance stock information is auto-populated based on the jurisdiction selected. These values appear in the blue cells. If a user has data that they prefer to use, it can be entered into the yellow cells, which will then carry over to elsewhere in the spreadsheet where these values are used.</t>
  </si>
  <si>
    <t>Residential energy rating and disclosure is a promising low cost policy option that can help increase consumer transparency about the costs associated with operating a home, promoting more sound purchasing and renovation decisions. Such policies exist in Berkeley, CA and Portland, OR. Literature suggests that such policies can prompt voluntary improvements. Also, by cataloging the existing building conditions and energy use, these policies can inform future policy and program efforts to reduce building energy consumption and track progress toward achieving community-wide climate and/or energy targets.</t>
  </si>
  <si>
    <t>A time of replacement policy requires that a natural gas-fueled appliance be replaced with a high-efficiency electric option (such as heat pumps) either at burnout or an early replacement. This policy prevents natural gas emissions from being locked into a home for 10-20+ years (average useful life of equipment). While this policy option has the ability to be very effective, there are concerns with the cost and availability of heat pumps in comparison to status-quo natural gas options. Additionally, switching from gas to electric may require panel or electrical wiring upgrades, which can delay installation and deter homeowners who may be replacing their appliances in a burnout scenario. This policy does not include stoves and dryers, since while the capping of the gas line and new electrical requires a permit, the appliances change-out itself does not.</t>
  </si>
  <si>
    <t>Enter a manual number here if the assessment trigger is "Other"</t>
  </si>
  <si>
    <t>% Project exemptions</t>
  </si>
  <si>
    <t>User input cells are shown in green. These cells will require a user to confirm or change the input in order for the calculator to work. Some green cells are auto-filled with best practices or examples from case studies. Examples include which trigger points for policies, inspection costs, and estimate energy savings. Others will start blank and provide more options for customization that a user may wish to explore, such as layering electrification upgrade requirements on to a policy. If a green cell is overwritten, a user would have to refer to the unedited tool to see the original value.</t>
  </si>
  <si>
    <t>Cells in yellow are optional for customization. Default values are are calculated via formulas from source data within the spreadsheet. A user may override these defaults if they have more accurate or jurisdiction-specific data by inputting their desired value in the corresponding yellow cell. An example includes housing stock data, where the default is pulled from CA DOF data but a jurisdiction may have more accurate information or only wish to use a subset of the housing data for the calculations. A user can revert back to the default by clearing the modified yellow cell.</t>
  </si>
  <si>
    <t xml:space="preserve">Cells are shown in blue are include calculations or references to other data and are locked for editing. </t>
  </si>
  <si>
    <t>Joint probability of furnace or AC replacement requirement</t>
  </si>
  <si>
    <t>Appliance Stock Profile</t>
  </si>
  <si>
    <t>This tab summarizes the housing stock and utility emissions factors for the County and City specified on the Policy Impact Dashboard. Default housing values come from the California Department of Finance (DOF) and the U.S. Census. Default emissions factors come from the most recent utility power content labels (as of July 2021).</t>
  </si>
  <si>
    <t>This tab summarizes the appliance stock parameters for the model for seven equipment categories. Inputs include market saturation for the jurisdiction being modeled, Unit Energy Consumption by climate zone, expected useful life, and equipment efficiency. Unit Energy Consumption values are derived from analysis from the Statewide Codes and Standards program. Useful lives are taken from DEER. Equipment saturation data derives from the American Housing Survey.</t>
  </si>
  <si>
    <t>If you have more accurate housing data, you may change a default value by going to the Housing Stock Data Entry tab and enter the preferred value in the corresponding yellow cell. Doing so will substitute the customized value for the default value in the lavender cell.</t>
  </si>
  <si>
    <t>If you have more accurate appliance data, you may change a default value by going to the Appliance Stock Data Entry tab and enter the preferred value in the corresponding yellow cell. Doing so will substitute the customized value for the default value in the lavender cell.</t>
  </si>
  <si>
    <t>Step 7 (optional). Set input parameters for Housing Stock and Appliance Stock.</t>
  </si>
  <si>
    <t>Step 8 (optional). Specify the deadline for acquiring zero emissions electricity and the goal year for achieving zero emissions from existing homes.</t>
  </si>
  <si>
    <t>Number of affected projects: custom calculator</t>
  </si>
  <si>
    <t>Square Footage</t>
  </si>
  <si>
    <t>Total Number</t>
  </si>
  <si>
    <t>SINGLE FAMILY HOUSING STOCK</t>
  </si>
  <si>
    <t>SINGLE FAMILY APPLIANCE STOCK</t>
  </si>
  <si>
    <t>Equipment Stock Change Relative to Business as Usual</t>
  </si>
  <si>
    <t>Convert to all-electric</t>
  </si>
  <si>
    <t>Electrification Changes in Equipment Stock</t>
  </si>
  <si>
    <t>Change in # New Gas furnace units</t>
  </si>
  <si>
    <t>Change in # Existing Gas furnace units</t>
  </si>
  <si>
    <t>Change in # New Gas DHW units</t>
  </si>
  <si>
    <t>Change in # Existing Gas DHW units</t>
  </si>
  <si>
    <t>Change in # Furnace-only</t>
  </si>
  <si>
    <t>Change in # Furnace+AC</t>
  </si>
  <si>
    <t>Version 1.0</t>
  </si>
  <si>
    <t>Sept. 2, 2021</t>
  </si>
  <si>
    <t>Completed</t>
  </si>
  <si>
    <t>Fixed bug that misassigned electric utility to z-All San Mateo</t>
  </si>
  <si>
    <t>2-energy assessment': Revised 'Number of Assessments' to account for starting compliance rate</t>
  </si>
  <si>
    <t>NC Reach Code Impacts': Revised 'Change in # New All Electric Homes' to account for starting compliance rate</t>
  </si>
  <si>
    <t>3-time of replacement': Revised 'Number of Inspections' to account for starting compliance rate</t>
  </si>
  <si>
    <t>4-time of renovation': Revised 'Number of Inspections' to account for starting compliance rate.</t>
  </si>
  <si>
    <t>Policy Impact Dashboard': Set starting compliance to zero and locked cells for '5-Building Performance Standards' and 'End of Flow'</t>
  </si>
  <si>
    <t>Oct. 21, 2021</t>
  </si>
  <si>
    <t>Version 1.1</t>
  </si>
  <si>
    <t>In all of the above cases, constrained starting compliance to be less than or equal to 'Improve to' compliance</t>
  </si>
  <si>
    <t>3-time of replacement': Revised 'Change in # Furnace+AC' to account for starting compliance rate</t>
  </si>
  <si>
    <t>3-time of replacement': Revised 'Chang in # Furnace Only' to account for starting compliance rate</t>
  </si>
  <si>
    <t>3-time of replacement': Revised 'Change in # Gas DHW units' to account for starting compliance rate</t>
  </si>
  <si>
    <t>2-energy assessment': revised calculation of annual environmental impacts to limit calcs to years in which policy is active</t>
  </si>
  <si>
    <t>3-time of replacement': revised calculation of annual environmental impacts to limit calcs to years in which policy is active</t>
  </si>
  <si>
    <t>4-time of renovation': revised calculation of annual environmental impacts to limit calcs to years in which policy is active</t>
  </si>
  <si>
    <t>BAU Cumulative Change in Carbon Footprint</t>
  </si>
  <si>
    <t>Program Cumulative Change in Carbon Footprint</t>
  </si>
  <si>
    <t>Program incremental</t>
  </si>
  <si>
    <t>Mod BAU Emissions</t>
  </si>
  <si>
    <t>BAU emissions</t>
  </si>
  <si>
    <t>NC Reach Code Impacts': disaggregated 'cumulative change in carbon footprint' into BAU and policy components, based on baseline compliance rate. Then modified BAU and unabated emissions in the stock flow model to subtract the NC BAU abatements rather than credit them to the prolicy.</t>
  </si>
  <si>
    <t>2-energy assessment': disaggregated 'cumulative change in carbon footprint' into BAU and policy components, based on baseline compliance rate. Then modified BAU and unabated emissions in the stock flow model to subtract the Assessment BAU abatements rather than credit them to the prolicy.</t>
  </si>
  <si>
    <t>4-time of renovation': disaggregated 'cumulative change in carbon footprint' into BAU and policy components, based on baseline compliance rate. Then modified BAU and unabated emissions in the stock flow model to subtract the Renovation BAU abatements rather than credit them to the prolicy.</t>
  </si>
  <si>
    <t>3-time of replacement': disaggregated 'cumulative change in carbon footprint' into BAU and policy components, based on baseline compliance rate. Then modified BAU and unabated emissions in the stock flow model to subtract the Replacement BAU abatements rather than credit them to the prolicy.</t>
  </si>
  <si>
    <t>Oct. 22, 2021</t>
  </si>
  <si>
    <t>Version 1.2</t>
  </si>
  <si>
    <t>2-energy assessment': scaled the annual policy outcomes in proportion to the policy's contribution to overall adoption; i.e., (Compliance = Base)/Compliance</t>
  </si>
  <si>
    <t>3-time of replacement':  scaled the annual policy outcomes in proportion to the policy's contribution to overall adoption; i.e., (Compliance = Base)/Compliance</t>
  </si>
  <si>
    <t>4-time of renovation':  scaled the annual policy outcomes in proportion to the policy's contribution to overall adoption; i.e., (Compliance = Base)/Compliance</t>
  </si>
  <si>
    <t>Version 1.3</t>
  </si>
  <si>
    <t>Number of Covered Rentals</t>
  </si>
  <si>
    <t>Number of Covered Resale Homes</t>
  </si>
  <si>
    <t>Number of Rental Assessments</t>
  </si>
  <si>
    <t>Number of Resale Assessments</t>
  </si>
  <si>
    <t>Number of Other Assessments</t>
  </si>
  <si>
    <t>Number of Other Covered Mixed Fuel Homes</t>
  </si>
  <si>
    <t>Total Number of Assessments</t>
  </si>
  <si>
    <t>Number of occupied mixed fuel rentals</t>
  </si>
  <si>
    <t>Number of occupied mixed fuel owner occupied</t>
  </si>
  <si>
    <t>Nov. 12, 2021</t>
  </si>
  <si>
    <t xml:space="preserve">2-energy assessment: Modified the calculation of the number of assessments to track resales and rentals separately. Added the following calculation fields: </t>
  </si>
  <si>
    <t>Progress Towards Emissions Budget</t>
  </si>
  <si>
    <t>3-time of replacement': fixed a bug that falsely credited the policy with GHG reductions even when the policy was not selected. Added the term "TrueReplacement" to the Program Incremental GHG calculation in column BB</t>
  </si>
  <si>
    <t>4-time of renovation': fixed a bug that falsely credited the policy with GHG reductions even when the policy was not selected. Added the term "TrueReplacement" to the Program Incremental GHG calculation in column BF</t>
  </si>
  <si>
    <t>Policy Impact Dashboard: Fixed a mis-specification in the source data for the graphic that erroneously shifted all results by one year.</t>
  </si>
  <si>
    <t>AC (Central, Room, or Multiple)</t>
  </si>
  <si>
    <t>Gas Primary Heating Fuel</t>
  </si>
  <si>
    <t>Gas primary DHW fuel</t>
  </si>
  <si>
    <t>Electric heat</t>
  </si>
  <si>
    <t>Climate Zone</t>
  </si>
  <si>
    <t>Annual assessment quota</t>
  </si>
  <si>
    <t>Targeted number of years to full compliance, given 100% enforcement</t>
  </si>
  <si>
    <t>Number of years to full compliance with expected enforcement</t>
  </si>
  <si>
    <t>Emissions / household</t>
  </si>
  <si>
    <t>Revised appliance saturation inputs to reference 2019 RASS by climate zone</t>
  </si>
  <si>
    <t>Version 1.4</t>
  </si>
  <si>
    <t>Revised the Time of Replacement module to account for Code Compliance start date occuring after initiation of the Time of Replacement policy. Compliance Rate equals the “Start” compliance rate for years prior to the beginning of Code Compliance; equals the “Improve to” compliance rate for subsequent years.</t>
  </si>
  <si>
    <t>Revised the Performance module to account for Code Compliance start date occuring after initiation of the Performance Standards policy. Compliance Rate equals the “Start” compliance rate for years prior to the beginning of Code Compliance; equals the “Improve to” compliance rate for subsequent years.</t>
  </si>
  <si>
    <t>Convert gas furnace to electric heat</t>
  </si>
  <si>
    <t>Electric hot water</t>
  </si>
  <si>
    <t>Convert gas water heater to electric hot water</t>
  </si>
  <si>
    <t>Gas hot water units</t>
  </si>
  <si>
    <t>Relabeled HPWH as electric hot water; relabeled heat pump as electric heat</t>
  </si>
  <si>
    <t>Convert furnace to electric heat</t>
  </si>
  <si>
    <t>Convert water heater to electric hot water</t>
  </si>
  <si>
    <t>Recalculated gas UECs from 2019 RASS results by reweighting reported values from Forecast Zone to Climate Zone. RASS results reflect single family homes with gas data.</t>
  </si>
  <si>
    <t>2019 RASS UECs for Single Family Homes. Gas values are for homes with gas service.</t>
  </si>
  <si>
    <t>RASS 2019 UEC Primary Heat</t>
  </si>
  <si>
    <t>RASS 2019 UEC DHW</t>
  </si>
  <si>
    <t>RASS 2019 UEC Misc @ 100% saturation</t>
  </si>
  <si>
    <t>Incremental Carbon Footprint due to EE</t>
  </si>
  <si>
    <t>5-performance standards': fixed a bug in the calculation of GHG impacts, added a break-out of EE and electrification impacts</t>
  </si>
  <si>
    <t>Oct.-Dec.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</si>
</sst>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_(* #,##0.0_);_(* \(#,##0.0\);_(* &quot;-&quot;??_);_(@_)"/>
    <numFmt numFmtId="165" formatCode="&quot;$&quot;#,##0"/>
    <numFmt numFmtId="166" formatCode="_(* #,##0_);_(* \(#,##0\);_(* &quot;-&quot;??_);_(@_)"/>
    <numFmt numFmtId="167" formatCode="#,###,###,##0.0"/>
    <numFmt numFmtId="168" formatCode="0.0000"/>
    <numFmt numFmtId="169" formatCode="#,###,###,##0"/>
    <numFmt numFmtId="170" formatCode="00000"/>
    <numFmt numFmtId="171" formatCode="0.0%"/>
    <numFmt numFmtId="172" formatCode="0.0"/>
    <numFmt numFmtId="173" formatCode="0.000"/>
    <numFmt numFmtId="174" formatCode="_(&quot;$&quot;* #,##0_);_(&quot;$&quot;* \(#,##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font>
    <font>
      <sz val="10"/>
      <color rgb="FF000000"/>
      <name val="Times New Roman"/>
      <family val="1"/>
    </font>
    <font>
      <b/>
      <sz val="14"/>
      <color theme="1"/>
      <name val="Calibri"/>
      <family val="2"/>
      <scheme val="minor"/>
    </font>
    <font>
      <b/>
      <sz val="11"/>
      <color rgb="FF000000"/>
      <name val="Calibri"/>
      <family val="2"/>
    </font>
    <font>
      <sz val="11"/>
      <color theme="1"/>
      <name val="Calibri"/>
      <family val="2"/>
    </font>
    <font>
      <b/>
      <sz val="11"/>
      <color rgb="FF000000"/>
      <name val="Helvetica"/>
    </font>
    <font>
      <sz val="11"/>
      <color rgb="FF000000"/>
      <name val="Helvetica"/>
    </font>
    <font>
      <b/>
      <sz val="10"/>
      <name val="Arial"/>
      <family val="2"/>
    </font>
    <font>
      <sz val="10"/>
      <name val="Arial"/>
      <family val="2"/>
    </font>
    <font>
      <sz val="9"/>
      <name val="Arial"/>
      <family val="2"/>
    </font>
    <font>
      <b/>
      <sz val="9"/>
      <color rgb="FF07405F"/>
      <name val="Tahoma"/>
      <family val="2"/>
    </font>
    <font>
      <b/>
      <sz val="16"/>
      <color theme="1"/>
      <name val="Calibri"/>
      <family val="2"/>
      <scheme val="minor"/>
    </font>
    <font>
      <sz val="16"/>
      <color rgb="FF2F5496"/>
      <name val="Calibri Light"/>
      <family val="2"/>
    </font>
    <font>
      <i/>
      <sz val="11"/>
      <color theme="1"/>
      <name val="Calibri"/>
      <family val="2"/>
      <scheme val="minor"/>
    </font>
    <font>
      <sz val="7"/>
      <color theme="1"/>
      <name val="Times New Roman"/>
      <family val="1"/>
    </font>
    <font>
      <sz val="11"/>
      <color theme="1"/>
      <name val="Symbol"/>
      <family val="1"/>
      <charset val="2"/>
    </font>
    <font>
      <sz val="13"/>
      <color rgb="FF2F5496"/>
      <name val="Calibri Light"/>
      <family val="2"/>
    </font>
    <font>
      <sz val="9"/>
      <color indexed="81"/>
      <name val="Tahoma"/>
      <family val="2"/>
    </font>
    <font>
      <b/>
      <sz val="24"/>
      <color theme="1"/>
      <name val="Calibri"/>
      <family val="2"/>
      <scheme val="minor"/>
    </font>
    <font>
      <b/>
      <u/>
      <sz val="11"/>
      <color theme="10"/>
      <name val="Calibri"/>
      <family val="2"/>
      <scheme val="minor"/>
    </font>
    <font>
      <sz val="11"/>
      <color rgb="FFFF0000"/>
      <name val="Calibri"/>
      <family val="2"/>
      <scheme val="minor"/>
    </font>
    <font>
      <sz val="1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2F2F2"/>
        <bgColor rgb="FF000000"/>
      </patternFill>
    </fill>
    <fill>
      <patternFill patternType="solid">
        <fgColor rgb="FFF5F5F5"/>
        <bgColor indexed="64"/>
      </patternFill>
    </fill>
    <fill>
      <patternFill patternType="solid">
        <fgColor rgb="FFFFFFFF"/>
        <bgColor indexed="64"/>
      </patternFill>
    </fill>
    <fill>
      <patternFill patternType="solid">
        <fgColor rgb="FFFFFFFF"/>
        <bgColor rgb="FF000000"/>
      </patternFill>
    </fill>
    <fill>
      <patternFill patternType="solid">
        <fgColor rgb="FFFFF2CC"/>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0E0E0"/>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D9E1F2"/>
        <bgColor indexed="64"/>
      </patternFill>
    </fill>
  </fills>
  <borders count="1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thin">
        <color auto="1"/>
      </right>
      <top/>
      <bottom/>
      <diagonal/>
    </border>
    <border>
      <left style="medium">
        <color rgb="FFC0C0C0"/>
      </left>
      <right style="medium">
        <color rgb="FFC0C0C0"/>
      </right>
      <top/>
      <bottom style="medium">
        <color rgb="FFC0C0C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0"/>
      </left>
      <right/>
      <top style="thin">
        <color theme="0"/>
      </top>
      <bottom style="thin">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auto="1"/>
      </top>
      <bottom style="thin">
        <color auto="1"/>
      </bottom>
      <diagonal/>
    </border>
    <border>
      <left style="thin">
        <color theme="1"/>
      </left>
      <right/>
      <top style="thin">
        <color auto="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n">
        <color theme="0"/>
      </bottom>
      <diagonal/>
    </border>
    <border>
      <left style="thin">
        <color indexed="64"/>
      </left>
      <right style="thin">
        <color theme="1"/>
      </right>
      <top style="thin">
        <color theme="0"/>
      </top>
      <bottom style="thin">
        <color theme="0"/>
      </bottom>
      <diagonal/>
    </border>
    <border>
      <left style="thin">
        <color indexed="64"/>
      </left>
      <right style="thin">
        <color theme="1"/>
      </right>
      <top style="thin">
        <color theme="0"/>
      </top>
      <bottom style="thin">
        <color theme="1"/>
      </bottom>
      <diagonal/>
    </border>
    <border>
      <left style="medium">
        <color indexed="64"/>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right>
      <top style="thin">
        <color theme="0"/>
      </top>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diagonal/>
    </border>
    <border>
      <left style="thin">
        <color theme="0"/>
      </left>
      <right style="medium">
        <color indexed="64"/>
      </right>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right/>
      <top style="thin">
        <color theme="0"/>
      </top>
      <bottom/>
      <diagonal/>
    </border>
    <border>
      <left/>
      <right style="thin">
        <color theme="0"/>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indexed="64"/>
      </top>
      <bottom style="thin">
        <color theme="0"/>
      </bottom>
      <diagonal/>
    </border>
    <border>
      <left style="medium">
        <color indexed="64"/>
      </left>
      <right style="medium">
        <color theme="2"/>
      </right>
      <top style="thin">
        <color indexed="64"/>
      </top>
      <bottom style="thin">
        <color indexed="64"/>
      </bottom>
      <diagonal/>
    </border>
    <border>
      <left style="medium">
        <color theme="2"/>
      </left>
      <right style="medium">
        <color theme="2"/>
      </right>
      <top style="thin">
        <color indexed="64"/>
      </top>
      <bottom style="thin">
        <color indexed="64"/>
      </bottom>
      <diagonal/>
    </border>
    <border>
      <left style="medium">
        <color theme="2"/>
      </left>
      <right style="medium">
        <color indexed="64"/>
      </right>
      <top style="thin">
        <color indexed="64"/>
      </top>
      <bottom style="thin">
        <color indexed="64"/>
      </bottom>
      <diagonal/>
    </border>
    <border>
      <left style="medium">
        <color theme="2"/>
      </left>
      <right style="medium">
        <color indexed="64"/>
      </right>
      <top/>
      <bottom style="thin">
        <color indexed="64"/>
      </bottom>
      <diagonal/>
    </border>
    <border>
      <left style="medium">
        <color indexed="64"/>
      </left>
      <right style="medium">
        <color theme="2"/>
      </right>
      <top style="medium">
        <color indexed="64"/>
      </top>
      <bottom style="thin">
        <color indexed="64"/>
      </bottom>
      <diagonal/>
    </border>
    <border>
      <left style="medium">
        <color theme="2"/>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0"/>
      </left>
      <right style="thin">
        <color theme="4" tint="0.79998168889431442"/>
      </right>
      <top style="thin">
        <color indexed="64"/>
      </top>
      <bottom style="thin">
        <color indexed="64"/>
      </bottom>
      <diagonal/>
    </border>
    <border>
      <left style="thin">
        <color theme="4" tint="0.79998168889431442"/>
      </left>
      <right style="thin">
        <color theme="4" tint="0.79998168889431442"/>
      </right>
      <top style="thin">
        <color indexed="64"/>
      </top>
      <bottom style="thin">
        <color indexed="64"/>
      </bottom>
      <diagonal/>
    </border>
    <border>
      <left style="thin">
        <color theme="4" tint="0.79998168889431442"/>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theme="2"/>
      </left>
      <right style="medium">
        <color indexed="64"/>
      </right>
      <top style="medium">
        <color theme="1"/>
      </top>
      <bottom style="thin">
        <color indexed="64"/>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4" tint="0.79998168889431442"/>
      </right>
      <top style="thin">
        <color indexed="64"/>
      </top>
      <bottom style="medium">
        <color indexed="64"/>
      </bottom>
      <diagonal/>
    </border>
    <border>
      <left style="thin">
        <color theme="4" tint="0.79998168889431442"/>
      </left>
      <right style="thin">
        <color theme="4" tint="0.79998168889431442"/>
      </right>
      <top style="thin">
        <color indexed="64"/>
      </top>
      <bottom style="medium">
        <color indexed="64"/>
      </bottom>
      <diagonal/>
    </border>
    <border>
      <left style="thin">
        <color theme="4" tint="0.79998168889431442"/>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theme="0"/>
      </right>
      <top style="medium">
        <color theme="0"/>
      </top>
      <bottom style="thin">
        <color theme="0"/>
      </bottom>
      <diagonal/>
    </border>
    <border>
      <left style="medium">
        <color theme="0"/>
      </left>
      <right style="medium">
        <color theme="0"/>
      </right>
      <top style="medium">
        <color theme="0"/>
      </top>
      <bottom style="thin">
        <color theme="0"/>
      </bottom>
      <diagonal/>
    </border>
    <border>
      <left style="medium">
        <color indexed="64"/>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indexed="64"/>
      </left>
      <right style="medium">
        <color theme="0"/>
      </right>
      <top style="thin">
        <color theme="0"/>
      </top>
      <bottom style="medium">
        <color indexed="64"/>
      </bottom>
      <diagonal/>
    </border>
    <border>
      <left style="medium">
        <color theme="0"/>
      </left>
      <right style="medium">
        <color theme="0"/>
      </right>
      <top style="thin">
        <color theme="0"/>
      </top>
      <bottom style="medium">
        <color indexed="64"/>
      </bottom>
      <diagonal/>
    </border>
    <border>
      <left style="medium">
        <color indexed="64"/>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theme="0"/>
      </top>
      <bottom style="medium">
        <color indexed="64"/>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indexed="64"/>
      </top>
      <bottom style="thin">
        <color theme="0"/>
      </bottom>
      <diagonal/>
    </border>
    <border>
      <left style="medium">
        <color indexed="64"/>
      </left>
      <right style="medium">
        <color theme="2"/>
      </right>
      <top style="thin">
        <color theme="0"/>
      </top>
      <bottom style="thin">
        <color indexed="64"/>
      </bottom>
      <diagonal/>
    </border>
    <border>
      <left style="medium">
        <color theme="2"/>
      </left>
      <right style="medium">
        <color theme="2"/>
      </right>
      <top style="thin">
        <color theme="0"/>
      </top>
      <bottom style="thin">
        <color indexed="64"/>
      </bottom>
      <diagonal/>
    </border>
    <border>
      <left style="medium">
        <color theme="2"/>
      </left>
      <right style="medium">
        <color theme="2"/>
      </right>
      <top/>
      <bottom style="thin">
        <color indexed="64"/>
      </bottom>
      <diagonal/>
    </border>
    <border>
      <left style="medium">
        <color indexed="64"/>
      </left>
      <right style="medium">
        <color theme="2"/>
      </right>
      <top style="medium">
        <color indexed="64"/>
      </top>
      <bottom style="thin">
        <color theme="0"/>
      </bottom>
      <diagonal/>
    </border>
    <border>
      <left style="medium">
        <color theme="2"/>
      </left>
      <right style="medium">
        <color indexed="64"/>
      </right>
      <top style="medium">
        <color indexed="64"/>
      </top>
      <bottom style="thin">
        <color theme="0"/>
      </bottom>
      <diagonal/>
    </border>
    <border>
      <left/>
      <right/>
      <top style="medium">
        <color indexed="64"/>
      </top>
      <bottom style="thin">
        <color theme="1"/>
      </bottom>
      <diagonal/>
    </border>
    <border>
      <left/>
      <right/>
      <top style="thin">
        <color theme="1"/>
      </top>
      <bottom style="medium">
        <color indexed="64"/>
      </bottom>
      <diagonal/>
    </border>
    <border>
      <left style="medium">
        <color indexed="64"/>
      </left>
      <right style="thin">
        <color theme="0"/>
      </right>
      <top style="thin">
        <color theme="1"/>
      </top>
      <bottom style="thin">
        <color theme="1"/>
      </bottom>
      <diagonal/>
    </border>
    <border>
      <left style="thin">
        <color theme="0"/>
      </left>
      <right style="medium">
        <color indexed="64"/>
      </right>
      <top style="thin">
        <color theme="1"/>
      </top>
      <bottom style="thin">
        <color theme="1"/>
      </bottom>
      <diagonal/>
    </border>
    <border>
      <left style="thin">
        <color indexed="64"/>
      </left>
      <right style="medium">
        <color indexed="64"/>
      </right>
      <top style="thin">
        <color theme="1"/>
      </top>
      <bottom style="thin">
        <color theme="0"/>
      </bottom>
      <diagonal/>
    </border>
    <border>
      <left style="thin">
        <color theme="0"/>
      </left>
      <right style="thin">
        <color theme="0"/>
      </right>
      <top style="thin">
        <color theme="1"/>
      </top>
      <bottom style="medium">
        <color indexed="64"/>
      </bottom>
      <diagonal/>
    </border>
    <border>
      <left style="thin">
        <color theme="0"/>
      </left>
      <right style="medium">
        <color indexed="64"/>
      </right>
      <top style="thin">
        <color theme="1"/>
      </top>
      <bottom style="medium">
        <color indexed="64"/>
      </bottom>
      <diagonal/>
    </border>
    <border>
      <left style="medium">
        <color indexed="64"/>
      </left>
      <right/>
      <top/>
      <bottom/>
      <diagonal/>
    </border>
    <border>
      <left style="medium">
        <color indexed="64"/>
      </left>
      <right style="thin">
        <color theme="0"/>
      </right>
      <top style="medium">
        <color indexed="64"/>
      </top>
      <bottom style="thin">
        <color theme="1"/>
      </bottom>
      <diagonal/>
    </border>
    <border>
      <left style="thin">
        <color theme="0"/>
      </left>
      <right style="medium">
        <color indexed="64"/>
      </right>
      <top style="medium">
        <color indexed="64"/>
      </top>
      <bottom style="thin">
        <color theme="1"/>
      </bottom>
      <diagonal/>
    </border>
    <border>
      <left style="medium">
        <color indexed="64"/>
      </left>
      <right style="thin">
        <color theme="0"/>
      </right>
      <top style="thin">
        <color theme="1"/>
      </top>
      <bottom style="medium">
        <color indexed="64"/>
      </bottom>
      <diagonal/>
    </border>
    <border>
      <left/>
      <right/>
      <top style="thin">
        <color theme="1"/>
      </top>
      <bottom/>
      <diagonal/>
    </border>
    <border>
      <left style="medium">
        <color indexed="64"/>
      </left>
      <right/>
      <top style="thin">
        <color theme="1"/>
      </top>
      <bottom/>
      <diagonal/>
    </border>
    <border>
      <left style="medium">
        <color indexed="64"/>
      </left>
      <right/>
      <top/>
      <bottom style="thin">
        <color theme="1"/>
      </bottom>
      <diagonal/>
    </border>
    <border>
      <left/>
      <right style="medium">
        <color indexed="64"/>
      </right>
      <top style="thin">
        <color theme="1"/>
      </top>
      <bottom/>
      <diagonal/>
    </border>
    <border>
      <left/>
      <right style="medium">
        <color indexed="64"/>
      </right>
      <top/>
      <bottom style="thin">
        <color theme="1"/>
      </bottom>
      <diagonal/>
    </border>
    <border>
      <left style="medium">
        <color theme="0"/>
      </left>
      <right/>
      <top style="thin">
        <color theme="0"/>
      </top>
      <bottom/>
      <diagonal/>
    </border>
    <border>
      <left/>
      <right style="medium">
        <color theme="0"/>
      </right>
      <top style="medium">
        <color theme="0"/>
      </top>
      <bottom style="thin">
        <color theme="0"/>
      </bottom>
      <diagonal/>
    </border>
    <border>
      <left/>
      <right style="medium">
        <color theme="0"/>
      </right>
      <top/>
      <bottom style="thin">
        <color theme="0"/>
      </bottom>
      <diagonal/>
    </border>
    <border>
      <left style="thin">
        <color theme="0"/>
      </left>
      <right/>
      <top style="thin">
        <color theme="1"/>
      </top>
      <bottom style="thin">
        <color theme="1"/>
      </bottom>
      <diagonal/>
    </border>
    <border>
      <left/>
      <right style="thin">
        <color theme="0"/>
      </right>
      <top style="thin">
        <color theme="1"/>
      </top>
      <bottom style="thin">
        <color theme="1"/>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style="thin">
        <color theme="0"/>
      </top>
      <bottom style="thin">
        <color theme="1"/>
      </bottom>
      <diagonal/>
    </border>
    <border>
      <left/>
      <right/>
      <top style="thin">
        <color theme="0"/>
      </top>
      <bottom style="thin">
        <color theme="1"/>
      </bottom>
      <diagonal/>
    </border>
    <border>
      <left/>
      <right style="thin">
        <color theme="0"/>
      </right>
      <top style="thin">
        <color theme="0"/>
      </top>
      <bottom style="thin">
        <color theme="1"/>
      </bottom>
      <diagonal/>
    </border>
    <border>
      <left style="thin">
        <color theme="0"/>
      </left>
      <right/>
      <top/>
      <bottom/>
      <diagonal/>
    </border>
    <border>
      <left/>
      <right style="medium">
        <color theme="0"/>
      </right>
      <top style="medium">
        <color theme="0"/>
      </top>
      <bottom style="medium">
        <color theme="0"/>
      </bottom>
      <diagonal/>
    </border>
    <border>
      <left style="thin">
        <color theme="0"/>
      </left>
      <right/>
      <top style="thin">
        <color theme="0"/>
      </top>
      <bottom/>
      <diagonal/>
    </border>
    <border>
      <left/>
      <right style="thin">
        <color theme="0"/>
      </right>
      <top/>
      <bottom/>
      <diagonal/>
    </border>
    <border>
      <left style="medium">
        <color indexed="64"/>
      </left>
      <right/>
      <top style="thin">
        <color theme="0"/>
      </top>
      <bottom/>
      <diagonal/>
    </border>
    <border>
      <left style="medium">
        <color indexed="64"/>
      </left>
      <right/>
      <top/>
      <bottom style="thin">
        <color theme="0"/>
      </bottom>
      <diagonal/>
    </border>
    <border>
      <left/>
      <right/>
      <top/>
      <bottom style="thin">
        <color theme="0"/>
      </bottom>
      <diagonal/>
    </border>
    <border>
      <left/>
      <right/>
      <top style="medium">
        <color theme="0"/>
      </top>
      <bottom/>
      <diagonal/>
    </border>
    <border>
      <left style="thin">
        <color theme="0"/>
      </left>
      <right/>
      <top/>
      <bottom style="thin">
        <color theme="1"/>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medium">
        <color indexed="64"/>
      </right>
      <top style="thin">
        <color indexed="64"/>
      </top>
      <bottom/>
      <diagonal/>
    </border>
    <border>
      <left style="thin">
        <color theme="0"/>
      </left>
      <right style="medium">
        <color indexed="64"/>
      </right>
      <top/>
      <bottom style="thin">
        <color indexed="64"/>
      </bottom>
      <diagonal/>
    </border>
    <border>
      <left style="medium">
        <color indexed="64"/>
      </left>
      <right style="thin">
        <color theme="0"/>
      </right>
      <top style="thin">
        <color indexed="64"/>
      </top>
      <bottom/>
      <diagonal/>
    </border>
    <border>
      <left style="medium">
        <color indexed="64"/>
      </left>
      <right style="thin">
        <color theme="0"/>
      </right>
      <top/>
      <bottom style="thin">
        <color indexed="64"/>
      </bottom>
      <diagonal/>
    </border>
    <border>
      <left style="thin">
        <color auto="1"/>
      </left>
      <right style="medium">
        <color indexed="64"/>
      </right>
      <top style="thin">
        <color auto="1"/>
      </top>
      <bottom style="thin">
        <color auto="1"/>
      </bottom>
      <diagonal/>
    </border>
    <border>
      <left/>
      <right style="thin">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xf numFmtId="44" fontId="1" fillId="0" borderId="0" applyFont="0" applyFill="0" applyBorder="0" applyAlignment="0" applyProtection="0"/>
  </cellStyleXfs>
  <cellXfs count="682">
    <xf numFmtId="0" fontId="0" fillId="0" borderId="0" xfId="0"/>
    <xf numFmtId="0" fontId="2" fillId="0" borderId="0" xfId="0" applyFont="1"/>
    <xf numFmtId="0" fontId="2" fillId="0" borderId="1" xfId="0" applyFont="1" applyBorder="1" applyAlignment="1" applyProtection="1">
      <alignment horizontal="center" wrapText="1"/>
      <protection locked="0"/>
    </xf>
    <xf numFmtId="0" fontId="0" fillId="0" borderId="1" xfId="0" applyBorder="1" applyAlignment="1" applyProtection="1">
      <alignment horizontal="left" indent="2"/>
      <protection locked="0"/>
    </xf>
    <xf numFmtId="0" fontId="0" fillId="0" borderId="1" xfId="0" applyBorder="1" applyAlignment="1" applyProtection="1">
      <alignment horizontal="left"/>
      <protection locked="0"/>
    </xf>
    <xf numFmtId="0" fontId="0" fillId="0" borderId="0" xfId="0" applyBorder="1"/>
    <xf numFmtId="0" fontId="0" fillId="0" borderId="6" xfId="0" applyBorder="1"/>
    <xf numFmtId="0" fontId="0" fillId="3" borderId="0" xfId="0" applyFill="1" applyBorder="1" applyAlignment="1">
      <alignment horizontal="center"/>
    </xf>
    <xf numFmtId="0" fontId="0" fillId="0" borderId="11" xfId="0" applyFill="1" applyBorder="1" applyAlignment="1" applyProtection="1">
      <alignment horizontal="left" indent="2"/>
      <protection locked="0"/>
    </xf>
    <xf numFmtId="0" fontId="0" fillId="0" borderId="12" xfId="0" applyBorder="1"/>
    <xf numFmtId="0" fontId="2" fillId="2" borderId="1" xfId="0" applyFont="1" applyFill="1" applyBorder="1" applyAlignment="1" applyProtection="1">
      <alignment horizontal="center" wrapText="1"/>
      <protection locked="0"/>
    </xf>
    <xf numFmtId="0" fontId="0" fillId="0" borderId="0" xfId="0" applyFill="1" applyBorder="1"/>
    <xf numFmtId="0" fontId="0" fillId="0" borderId="10" xfId="0" applyFill="1" applyBorder="1" applyAlignment="1" applyProtection="1">
      <alignment horizontal="left" indent="2"/>
      <protection locked="0"/>
    </xf>
    <xf numFmtId="0" fontId="0" fillId="0" borderId="0" xfId="0" applyAlignment="1">
      <alignment wrapText="1"/>
    </xf>
    <xf numFmtId="16" fontId="0" fillId="0" borderId="0" xfId="0" applyNumberFormat="1"/>
    <xf numFmtId="1" fontId="0" fillId="0" borderId="0" xfId="0" applyNumberFormat="1"/>
    <xf numFmtId="0" fontId="2" fillId="0" borderId="0" xfId="0" applyFont="1" applyAlignment="1">
      <alignment wrapText="1"/>
    </xf>
    <xf numFmtId="0" fontId="4" fillId="0" borderId="0" xfId="4" applyFont="1"/>
    <xf numFmtId="0" fontId="3" fillId="0" borderId="0" xfId="3" applyAlignment="1">
      <alignment horizontal="left" vertical="top"/>
    </xf>
    <xf numFmtId="0" fontId="5" fillId="0" borderId="0" xfId="0" applyFont="1"/>
    <xf numFmtId="43" fontId="4" fillId="0" borderId="0" xfId="4" applyNumberFormat="1" applyFont="1"/>
    <xf numFmtId="9" fontId="0" fillId="0" borderId="0" xfId="2" applyFont="1"/>
    <xf numFmtId="0" fontId="0" fillId="0" borderId="1" xfId="0" applyFont="1" applyBorder="1"/>
    <xf numFmtId="0" fontId="0" fillId="0" borderId="0" xfId="0" applyFont="1" applyBorder="1"/>
    <xf numFmtId="0" fontId="0" fillId="0" borderId="0" xfId="0" applyFont="1"/>
    <xf numFmtId="0" fontId="7" fillId="0" borderId="1" xfId="0" applyFont="1" applyBorder="1" applyAlignment="1" applyProtection="1">
      <alignment horizontal="center" wrapText="1"/>
      <protection locked="0"/>
    </xf>
    <xf numFmtId="0" fontId="7" fillId="6" borderId="1" xfId="0" applyFont="1" applyFill="1" applyBorder="1" applyAlignment="1" applyProtection="1">
      <alignment horizontal="center" wrapText="1"/>
      <protection locked="0"/>
    </xf>
    <xf numFmtId="0" fontId="8" fillId="0" borderId="0" xfId="0" applyFont="1"/>
    <xf numFmtId="166" fontId="8" fillId="0" borderId="0" xfId="1" applyNumberFormat="1" applyFont="1" applyFill="1" applyBorder="1"/>
    <xf numFmtId="0" fontId="9" fillId="7" borderId="14" xfId="0" applyFont="1" applyFill="1" applyBorder="1" applyAlignment="1">
      <alignment horizontal="center" wrapText="1"/>
    </xf>
    <xf numFmtId="0" fontId="0" fillId="8" borderId="14" xfId="0" applyFill="1" applyBorder="1" applyAlignment="1">
      <alignment horizontal="left" vertical="top" wrapText="1"/>
    </xf>
    <xf numFmtId="9" fontId="0" fillId="8" borderId="14" xfId="2" applyFont="1" applyFill="1" applyBorder="1" applyAlignment="1">
      <alignment horizontal="right" wrapText="1"/>
    </xf>
    <xf numFmtId="9" fontId="0" fillId="0" borderId="0" xfId="0" applyNumberFormat="1"/>
    <xf numFmtId="167" fontId="0" fillId="0" borderId="0" xfId="0" applyNumberFormat="1"/>
    <xf numFmtId="171" fontId="10" fillId="9" borderId="14" xfId="2" applyNumberFormat="1" applyFont="1" applyFill="1" applyBorder="1" applyAlignment="1">
      <alignment horizontal="right" wrapText="1"/>
    </xf>
    <xf numFmtId="171" fontId="8" fillId="9" borderId="14" xfId="2" applyNumberFormat="1" applyFont="1" applyFill="1" applyBorder="1" applyAlignment="1">
      <alignment horizontal="right" wrapText="1"/>
    </xf>
    <xf numFmtId="166" fontId="0" fillId="0" borderId="0" xfId="0" applyNumberFormat="1"/>
    <xf numFmtId="0" fontId="0" fillId="0" borderId="10" xfId="0" applyBorder="1"/>
    <xf numFmtId="0" fontId="0" fillId="0" borderId="11" xfId="0" applyBorder="1"/>
    <xf numFmtId="49" fontId="0" fillId="0" borderId="13" xfId="0" applyNumberFormat="1" applyBorder="1"/>
    <xf numFmtId="49" fontId="0" fillId="0" borderId="10" xfId="0" applyNumberFormat="1" applyBorder="1"/>
    <xf numFmtId="0" fontId="0" fillId="4" borderId="1" xfId="0" applyFill="1" applyBorder="1" applyAlignment="1">
      <alignment horizontal="center"/>
    </xf>
    <xf numFmtId="0" fontId="11" fillId="2" borderId="15" xfId="0" applyFont="1" applyFill="1" applyBorder="1"/>
    <xf numFmtId="0" fontId="11" fillId="2" borderId="16" xfId="0" applyFont="1" applyFill="1" applyBorder="1"/>
    <xf numFmtId="3" fontId="11" fillId="2" borderId="17" xfId="0" applyNumberFormat="1" applyFont="1" applyFill="1" applyBorder="1" applyAlignment="1">
      <alignment horizontal="center" wrapText="1"/>
    </xf>
    <xf numFmtId="3" fontId="11" fillId="2" borderId="18" xfId="0" applyNumberFormat="1" applyFont="1" applyFill="1" applyBorder="1" applyAlignment="1">
      <alignment horizontal="center" wrapText="1"/>
    </xf>
    <xf numFmtId="171" fontId="11" fillId="2" borderId="15" xfId="0" applyNumberFormat="1" applyFont="1" applyFill="1" applyBorder="1" applyAlignment="1">
      <alignment horizontal="center" wrapText="1"/>
    </xf>
    <xf numFmtId="0" fontId="13" fillId="0" borderId="0" xfId="0" applyFont="1"/>
    <xf numFmtId="0" fontId="13" fillId="0" borderId="10" xfId="0" applyFont="1" applyBorder="1"/>
    <xf numFmtId="3" fontId="13" fillId="0" borderId="0" xfId="0" applyNumberFormat="1" applyFont="1"/>
    <xf numFmtId="171" fontId="13" fillId="0" borderId="0" xfId="2" applyNumberFormat="1" applyFont="1" applyBorder="1" applyAlignment="1"/>
    <xf numFmtId="171" fontId="12" fillId="0" borderId="0" xfId="2" applyNumberFormat="1" applyFont="1"/>
    <xf numFmtId="0" fontId="13" fillId="0" borderId="12" xfId="0" applyFont="1" applyBorder="1"/>
    <xf numFmtId="0" fontId="13" fillId="0" borderId="11" xfId="0" applyFont="1" applyBorder="1"/>
    <xf numFmtId="3" fontId="13" fillId="0" borderId="12" xfId="0" applyNumberFormat="1" applyFont="1" applyBorder="1"/>
    <xf numFmtId="171" fontId="13" fillId="0" borderId="12" xfId="2" applyNumberFormat="1" applyFont="1" applyBorder="1" applyAlignment="1"/>
    <xf numFmtId="0" fontId="13" fillId="0" borderId="8" xfId="0" applyFont="1" applyBorder="1"/>
    <xf numFmtId="0" fontId="13" fillId="0" borderId="7" xfId="0" applyFont="1" applyBorder="1"/>
    <xf numFmtId="3" fontId="13" fillId="0" borderId="8" xfId="0" applyNumberFormat="1" applyFont="1" applyBorder="1"/>
    <xf numFmtId="171" fontId="13" fillId="0" borderId="8" xfId="2" applyNumberFormat="1" applyFont="1" applyBorder="1" applyAlignment="1"/>
    <xf numFmtId="0" fontId="13" fillId="0" borderId="6" xfId="0" applyFont="1" applyBorder="1"/>
    <xf numFmtId="0" fontId="13" fillId="0" borderId="18" xfId="0" applyFont="1" applyBorder="1"/>
    <xf numFmtId="0" fontId="13" fillId="0" borderId="17" xfId="0" applyFont="1" applyBorder="1"/>
    <xf numFmtId="3" fontId="13" fillId="0" borderId="18" xfId="0" applyNumberFormat="1" applyFont="1" applyBorder="1"/>
    <xf numFmtId="171" fontId="13" fillId="0" borderId="18" xfId="2" applyNumberFormat="1" applyFont="1" applyBorder="1" applyAlignment="1"/>
    <xf numFmtId="0" fontId="13" fillId="0" borderId="3" xfId="0" applyFont="1" applyBorder="1"/>
    <xf numFmtId="0" fontId="13" fillId="0" borderId="2" xfId="0" applyFont="1" applyBorder="1"/>
    <xf numFmtId="3" fontId="13" fillId="0" borderId="3" xfId="0" applyNumberFormat="1" applyFont="1" applyBorder="1"/>
    <xf numFmtId="171" fontId="13" fillId="0" borderId="3" xfId="2" applyNumberFormat="1" applyFont="1" applyBorder="1" applyAlignment="1"/>
    <xf numFmtId="171" fontId="12" fillId="0" borderId="3" xfId="2" applyNumberFormat="1" applyFont="1" applyBorder="1"/>
    <xf numFmtId="171" fontId="12" fillId="0" borderId="0" xfId="2" applyNumberFormat="1" applyFont="1" applyBorder="1"/>
    <xf numFmtId="0" fontId="13" fillId="0" borderId="0" xfId="0" applyFont="1" applyBorder="1"/>
    <xf numFmtId="3" fontId="13" fillId="0" borderId="0" xfId="0" applyNumberFormat="1" applyFont="1" applyBorder="1"/>
    <xf numFmtId="166" fontId="0" fillId="0" borderId="0" xfId="1" applyNumberFormat="1" applyFont="1"/>
    <xf numFmtId="0" fontId="0" fillId="0" borderId="0" xfId="0" applyFill="1"/>
    <xf numFmtId="170" fontId="8" fillId="0" borderId="0" xfId="0" applyNumberFormat="1" applyFont="1" applyBorder="1"/>
    <xf numFmtId="0" fontId="8" fillId="0" borderId="0" xfId="0" applyFont="1" applyBorder="1"/>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9" xfId="0" applyFont="1" applyFill="1" applyBorder="1"/>
    <xf numFmtId="0" fontId="0" fillId="0" borderId="19" xfId="0" applyFill="1" applyBorder="1" applyAlignment="1">
      <alignment wrapText="1"/>
    </xf>
    <xf numFmtId="168" fontId="0" fillId="0" borderId="0" xfId="0" applyNumberFormat="1"/>
    <xf numFmtId="0" fontId="0" fillId="0" borderId="0" xfId="0"/>
    <xf numFmtId="0" fontId="0" fillId="0" borderId="1" xfId="0" applyBorder="1" applyAlignment="1">
      <alignment wrapText="1"/>
    </xf>
    <xf numFmtId="166" fontId="0" fillId="0" borderId="0" xfId="1" applyNumberFormat="1" applyFont="1" applyBorder="1"/>
    <xf numFmtId="166" fontId="0" fillId="0" borderId="6" xfId="1" applyNumberFormat="1" applyFont="1" applyBorder="1"/>
    <xf numFmtId="166" fontId="0" fillId="0" borderId="0" xfId="0" applyNumberFormat="1" applyBorder="1"/>
    <xf numFmtId="0" fontId="2" fillId="0" borderId="2" xfId="0" applyFont="1" applyBorder="1" applyAlignment="1"/>
    <xf numFmtId="0" fontId="2" fillId="0" borderId="3" xfId="0" applyFont="1" applyBorder="1" applyAlignment="1"/>
    <xf numFmtId="166" fontId="0" fillId="11" borderId="0" xfId="0" applyNumberFormat="1" applyFill="1"/>
    <xf numFmtId="0" fontId="2" fillId="2" borderId="1" xfId="0" applyFont="1" applyFill="1" applyBorder="1" applyAlignment="1">
      <alignment wrapText="1"/>
    </xf>
    <xf numFmtId="0" fontId="2" fillId="2" borderId="1" xfId="0" applyFont="1" applyFill="1" applyBorder="1" applyAlignment="1" applyProtection="1">
      <alignment wrapText="1"/>
      <protection locked="0"/>
    </xf>
    <xf numFmtId="0" fontId="2" fillId="0" borderId="10" xfId="0" applyFont="1" applyBorder="1"/>
    <xf numFmtId="0" fontId="2" fillId="0" borderId="11" xfId="0" applyFont="1" applyBorder="1"/>
    <xf numFmtId="166" fontId="0" fillId="0" borderId="0" xfId="1" applyNumberFormat="1" applyFont="1" applyAlignment="1">
      <alignment horizontal="center" vertical="center" wrapText="1"/>
    </xf>
    <xf numFmtId="166" fontId="0" fillId="0" borderId="0" xfId="1" applyNumberFormat="1" applyFont="1" applyBorder="1" applyAlignment="1">
      <alignment horizontal="center" vertical="center" wrapText="1"/>
    </xf>
    <xf numFmtId="0" fontId="3" fillId="0" borderId="1" xfId="3" applyBorder="1"/>
    <xf numFmtId="0" fontId="14" fillId="13" borderId="20" xfId="0" applyFont="1" applyFill="1" applyBorder="1" applyAlignment="1">
      <alignment horizontal="left" vertical="center" wrapText="1"/>
    </xf>
    <xf numFmtId="0" fontId="0" fillId="0" borderId="0" xfId="0" applyAlignment="1">
      <alignment horizontal="left"/>
    </xf>
    <xf numFmtId="0" fontId="3" fillId="0" borderId="0" xfId="3"/>
    <xf numFmtId="173" fontId="0" fillId="0" borderId="0" xfId="0" applyNumberFormat="1" applyFill="1"/>
    <xf numFmtId="0" fontId="0" fillId="0" borderId="22" xfId="0" applyBorder="1"/>
    <xf numFmtId="0" fontId="0" fillId="0" borderId="23" xfId="0" applyBorder="1"/>
    <xf numFmtId="0" fontId="0" fillId="0" borderId="24" xfId="0" applyBorder="1"/>
    <xf numFmtId="0" fontId="0" fillId="0" borderId="21" xfId="0" applyBorder="1"/>
    <xf numFmtId="0" fontId="0" fillId="0" borderId="25" xfId="0" applyBorder="1"/>
    <xf numFmtId="0" fontId="0" fillId="0" borderId="26" xfId="0" applyBorder="1"/>
    <xf numFmtId="0" fontId="0" fillId="0" borderId="24" xfId="0" applyBorder="1" applyProtection="1">
      <protection locked="0"/>
    </xf>
    <xf numFmtId="0" fontId="2" fillId="0" borderId="23" xfId="0" applyFont="1" applyBorder="1"/>
    <xf numFmtId="0" fontId="0" fillId="0" borderId="22" xfId="0" applyBorder="1" applyProtection="1">
      <protection locked="0"/>
    </xf>
    <xf numFmtId="0" fontId="0" fillId="0" borderId="0" xfId="0" applyFont="1" applyFill="1" applyBorder="1"/>
    <xf numFmtId="0" fontId="2" fillId="0" borderId="0" xfId="0" applyFont="1" applyFill="1" applyBorder="1" applyAlignment="1" applyProtection="1">
      <alignment horizontal="left" indent="2"/>
      <protection locked="0"/>
    </xf>
    <xf numFmtId="0" fontId="15"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2" fillId="0" borderId="0" xfId="0" applyFont="1" applyAlignment="1">
      <alignment vertical="center" wrapText="1"/>
    </xf>
    <xf numFmtId="0" fontId="0" fillId="5" borderId="2" xfId="0" applyFill="1" applyBorder="1" applyAlignment="1">
      <alignment wrapText="1"/>
    </xf>
    <xf numFmtId="0" fontId="0" fillId="0" borderId="33" xfId="0" applyBorder="1" applyProtection="1">
      <protection locked="0"/>
    </xf>
    <xf numFmtId="171" fontId="0" fillId="12" borderId="31" xfId="2" applyNumberFormat="1" applyFont="1" applyFill="1" applyBorder="1" applyProtection="1">
      <protection locked="0"/>
    </xf>
    <xf numFmtId="166" fontId="0" fillId="12" borderId="35" xfId="1" applyNumberFormat="1" applyFont="1" applyFill="1" applyBorder="1" applyAlignment="1">
      <alignment horizontal="right"/>
    </xf>
    <xf numFmtId="9" fontId="0" fillId="12" borderId="34" xfId="2" applyFont="1" applyFill="1" applyBorder="1" applyAlignment="1">
      <alignment horizontal="right"/>
    </xf>
    <xf numFmtId="0" fontId="2" fillId="0" borderId="33" xfId="0" applyFont="1" applyBorder="1" applyProtection="1">
      <protection locked="0"/>
    </xf>
    <xf numFmtId="171" fontId="0" fillId="12" borderId="35" xfId="2" applyNumberFormat="1" applyFont="1" applyFill="1" applyBorder="1" applyProtection="1">
      <protection locked="0"/>
    </xf>
    <xf numFmtId="171" fontId="0" fillId="12" borderId="34" xfId="2" applyNumberFormat="1" applyFont="1" applyFill="1" applyBorder="1" applyProtection="1">
      <protection locked="0"/>
    </xf>
    <xf numFmtId="0" fontId="2" fillId="0" borderId="27" xfId="0" applyFont="1" applyBorder="1" applyProtection="1">
      <protection locked="0"/>
    </xf>
    <xf numFmtId="0" fontId="2" fillId="0" borderId="28"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0" borderId="33" xfId="0" applyFont="1" applyBorder="1"/>
    <xf numFmtId="0" fontId="0" fillId="0" borderId="34" xfId="0" applyFill="1" applyBorder="1"/>
    <xf numFmtId="0" fontId="2" fillId="0" borderId="33" xfId="0" applyFont="1" applyFill="1" applyBorder="1"/>
    <xf numFmtId="0" fontId="0" fillId="12" borderId="34" xfId="0" applyFill="1" applyBorder="1" applyAlignment="1">
      <alignment horizontal="right"/>
    </xf>
    <xf numFmtId="0" fontId="0" fillId="12" borderId="34" xfId="0" applyFill="1" applyBorder="1"/>
    <xf numFmtId="0" fontId="2" fillId="0" borderId="35" xfId="0" applyFont="1" applyBorder="1" applyProtection="1">
      <protection locked="0"/>
    </xf>
    <xf numFmtId="0" fontId="2" fillId="0" borderId="34" xfId="0" applyFont="1" applyBorder="1" applyProtection="1">
      <protection locked="0"/>
    </xf>
    <xf numFmtId="0" fontId="0" fillId="0" borderId="33" xfId="0" applyBorder="1"/>
    <xf numFmtId="0" fontId="0" fillId="0" borderId="35" xfId="0" applyBorder="1"/>
    <xf numFmtId="0" fontId="0" fillId="0" borderId="34" xfId="0" applyFill="1" applyBorder="1" applyProtection="1">
      <protection locked="0"/>
    </xf>
    <xf numFmtId="168" fontId="0" fillId="0" borderId="34" xfId="0" applyNumberFormat="1" applyFill="1" applyBorder="1" applyProtection="1">
      <protection locked="0"/>
    </xf>
    <xf numFmtId="166" fontId="0" fillId="12" borderId="35" xfId="1" applyNumberFormat="1" applyFont="1" applyFill="1" applyBorder="1" applyProtection="1">
      <protection locked="0"/>
    </xf>
    <xf numFmtId="0" fontId="0" fillId="0" borderId="36" xfId="0" applyBorder="1" applyAlignment="1">
      <alignment wrapText="1"/>
    </xf>
    <xf numFmtId="0" fontId="0" fillId="0" borderId="37" xfId="0" applyBorder="1" applyAlignment="1">
      <alignment wrapText="1"/>
    </xf>
    <xf numFmtId="9" fontId="0" fillId="12" borderId="35" xfId="2" applyFont="1" applyFill="1" applyBorder="1" applyAlignment="1">
      <alignment horizontal="right"/>
    </xf>
    <xf numFmtId="9" fontId="0" fillId="12" borderId="35" xfId="2" applyNumberFormat="1" applyFont="1" applyFill="1" applyBorder="1" applyAlignment="1">
      <alignment horizontal="right"/>
    </xf>
    <xf numFmtId="9" fontId="0" fillId="12" borderId="0" xfId="0" applyNumberFormat="1" applyFill="1"/>
    <xf numFmtId="167" fontId="0" fillId="12" borderId="0" xfId="0" applyNumberFormat="1" applyFill="1"/>
    <xf numFmtId="9" fontId="0" fillId="12" borderId="0" xfId="2" applyFont="1" applyFill="1"/>
    <xf numFmtId="166" fontId="0" fillId="12" borderId="35" xfId="1" applyNumberFormat="1" applyFont="1" applyFill="1" applyBorder="1"/>
    <xf numFmtId="166" fontId="0" fillId="12" borderId="35" xfId="0" applyNumberFormat="1" applyFill="1" applyBorder="1"/>
    <xf numFmtId="166" fontId="0" fillId="12" borderId="21" xfId="0" applyNumberFormat="1" applyFill="1" applyBorder="1"/>
    <xf numFmtId="0" fontId="0" fillId="0" borderId="30" xfId="0" applyBorder="1" applyAlignment="1">
      <alignment wrapText="1"/>
    </xf>
    <xf numFmtId="171" fontId="0" fillId="14" borderId="39" xfId="2" applyNumberFormat="1" applyFont="1" applyFill="1" applyBorder="1" applyProtection="1">
      <protection locked="0"/>
    </xf>
    <xf numFmtId="171" fontId="0" fillId="14" borderId="40" xfId="2" applyNumberFormat="1" applyFont="1" applyFill="1" applyBorder="1" applyProtection="1">
      <protection locked="0"/>
    </xf>
    <xf numFmtId="171" fontId="0" fillId="14" borderId="41" xfId="2" applyNumberFormat="1" applyFont="1" applyFill="1" applyBorder="1" applyProtection="1">
      <protection locked="0"/>
    </xf>
    <xf numFmtId="166" fontId="0" fillId="14" borderId="38" xfId="1" applyNumberFormat="1" applyFont="1" applyFill="1" applyBorder="1" applyAlignment="1">
      <alignment horizontal="right"/>
    </xf>
    <xf numFmtId="0" fontId="2" fillId="0" borderId="3" xfId="0" applyFont="1" applyBorder="1" applyAlignment="1">
      <alignment horizontal="center"/>
    </xf>
    <xf numFmtId="0" fontId="0" fillId="12" borderId="35" xfId="0" applyFill="1" applyBorder="1" applyProtection="1">
      <protection locked="0"/>
    </xf>
    <xf numFmtId="168" fontId="0" fillId="12" borderId="35" xfId="0" applyNumberFormat="1" applyFill="1" applyBorder="1" applyProtection="1">
      <protection locked="0"/>
    </xf>
    <xf numFmtId="166" fontId="0" fillId="0" borderId="6" xfId="2" applyNumberFormat="1" applyFont="1" applyBorder="1"/>
    <xf numFmtId="168" fontId="0" fillId="0" borderId="0" xfId="0" applyNumberFormat="1" applyFill="1"/>
    <xf numFmtId="0" fontId="2" fillId="0" borderId="35" xfId="0" applyFont="1" applyBorder="1" applyAlignment="1">
      <alignment wrapText="1"/>
    </xf>
    <xf numFmtId="0" fontId="2" fillId="0" borderId="34" xfId="0" applyFont="1" applyBorder="1" applyAlignment="1">
      <alignment wrapText="1"/>
    </xf>
    <xf numFmtId="0" fontId="0" fillId="0" borderId="34" xfId="0" applyBorder="1"/>
    <xf numFmtId="0" fontId="4" fillId="0" borderId="34" xfId="4" applyFont="1" applyBorder="1"/>
    <xf numFmtId="0" fontId="0" fillId="14" borderId="35" xfId="0" applyFill="1" applyBorder="1"/>
    <xf numFmtId="1" fontId="0" fillId="12" borderId="35" xfId="0" applyNumberFormat="1" applyFill="1" applyBorder="1" applyAlignment="1">
      <alignment horizontal="right" vertical="top"/>
    </xf>
    <xf numFmtId="0" fontId="2" fillId="0" borderId="3" xfId="0" applyFont="1" applyBorder="1" applyAlignment="1">
      <alignment horizontal="center"/>
    </xf>
    <xf numFmtId="0" fontId="6" fillId="0" borderId="21" xfId="0" applyFont="1" applyBorder="1" applyAlignment="1"/>
    <xf numFmtId="166" fontId="0" fillId="0" borderId="21" xfId="1" applyNumberFormat="1" applyFont="1" applyBorder="1"/>
    <xf numFmtId="43" fontId="0" fillId="0" borderId="21" xfId="0" applyNumberFormat="1" applyBorder="1"/>
    <xf numFmtId="0" fontId="2" fillId="0" borderId="0" xfId="0" applyFont="1" applyBorder="1"/>
    <xf numFmtId="0" fontId="0" fillId="0" borderId="48" xfId="0" applyBorder="1"/>
    <xf numFmtId="0" fontId="0" fillId="0" borderId="24" xfId="0" applyFont="1" applyBorder="1"/>
    <xf numFmtId="0" fontId="0" fillId="0" borderId="24" xfId="0" applyBorder="1" applyAlignment="1">
      <alignment horizontal="center"/>
    </xf>
    <xf numFmtId="0" fontId="2" fillId="0" borderId="53" xfId="0" applyFont="1" applyBorder="1"/>
    <xf numFmtId="0" fontId="0" fillId="0" borderId="52" xfId="0" applyFont="1" applyBorder="1"/>
    <xf numFmtId="0" fontId="3" fillId="0" borderId="52" xfId="3" applyBorder="1"/>
    <xf numFmtId="0" fontId="0" fillId="0" borderId="55" xfId="0" applyFont="1" applyFill="1" applyBorder="1"/>
    <xf numFmtId="0" fontId="2" fillId="0" borderId="52" xfId="0" applyFont="1" applyBorder="1"/>
    <xf numFmtId="166" fontId="0" fillId="12" borderId="53" xfId="1" applyNumberFormat="1" applyFont="1" applyFill="1" applyBorder="1"/>
    <xf numFmtId="165" fontId="0" fillId="12" borderId="53" xfId="1" applyNumberFormat="1" applyFont="1" applyFill="1" applyBorder="1"/>
    <xf numFmtId="171" fontId="0" fillId="12" borderId="53" xfId="2" applyNumberFormat="1" applyFont="1" applyFill="1" applyBorder="1"/>
    <xf numFmtId="165" fontId="0" fillId="12" borderId="53" xfId="0" applyNumberFormat="1" applyFill="1" applyBorder="1"/>
    <xf numFmtId="0" fontId="2" fillId="0" borderId="55" xfId="0" applyFont="1" applyBorder="1"/>
    <xf numFmtId="0" fontId="2" fillId="0" borderId="56" xfId="0" applyFont="1" applyBorder="1"/>
    <xf numFmtId="166" fontId="0" fillId="12" borderId="56" xfId="1" applyNumberFormat="1" applyFont="1" applyFill="1" applyBorder="1"/>
    <xf numFmtId="165" fontId="0" fillId="12" borderId="56" xfId="0" applyNumberFormat="1" applyFill="1" applyBorder="1"/>
    <xf numFmtId="171" fontId="0" fillId="12" borderId="56" xfId="2" applyNumberFormat="1" applyFont="1" applyFill="1" applyBorder="1"/>
    <xf numFmtId="0" fontId="0" fillId="0" borderId="0" xfId="0" applyFont="1" applyFill="1" applyBorder="1" applyAlignment="1" applyProtection="1">
      <alignment horizontal="left" indent="2"/>
      <protection locked="0"/>
    </xf>
    <xf numFmtId="0" fontId="0" fillId="0" borderId="64" xfId="0" applyBorder="1"/>
    <xf numFmtId="10" fontId="8" fillId="0" borderId="0" xfId="2" applyNumberFormat="1" applyFont="1"/>
    <xf numFmtId="3" fontId="11" fillId="2" borderId="0" xfId="0" applyNumberFormat="1" applyFont="1" applyFill="1" applyBorder="1" applyAlignment="1">
      <alignment horizontal="center" wrapText="1"/>
    </xf>
    <xf numFmtId="0" fontId="0" fillId="15" borderId="53" xfId="0" applyFill="1" applyBorder="1"/>
    <xf numFmtId="0" fontId="0" fillId="15" borderId="49" xfId="0" applyFill="1" applyBorder="1"/>
    <xf numFmtId="0" fontId="0" fillId="15" borderId="50" xfId="0" applyFill="1" applyBorder="1"/>
    <xf numFmtId="0" fontId="2" fillId="15" borderId="52" xfId="0" applyFont="1" applyFill="1" applyBorder="1"/>
    <xf numFmtId="0" fontId="2" fillId="15" borderId="53" xfId="0" applyFont="1" applyFill="1" applyBorder="1"/>
    <xf numFmtId="0" fontId="2" fillId="15" borderId="54" xfId="0" applyFont="1" applyFill="1" applyBorder="1"/>
    <xf numFmtId="0" fontId="0" fillId="15" borderId="52" xfId="0" applyFill="1" applyBorder="1"/>
    <xf numFmtId="0" fontId="2" fillId="15" borderId="53" xfId="0" applyFont="1" applyFill="1" applyBorder="1" applyAlignment="1">
      <alignment horizontal="center" wrapText="1"/>
    </xf>
    <xf numFmtId="0" fontId="2" fillId="15" borderId="54" xfId="0" applyFont="1" applyFill="1" applyBorder="1" applyAlignment="1">
      <alignment horizontal="center" wrapText="1"/>
    </xf>
    <xf numFmtId="0" fontId="0" fillId="0" borderId="49" xfId="0" applyFont="1" applyFill="1" applyBorder="1"/>
    <xf numFmtId="0" fontId="0" fillId="0" borderId="52" xfId="0" applyFont="1" applyFill="1" applyBorder="1"/>
    <xf numFmtId="0" fontId="0" fillId="0" borderId="55" xfId="0" applyFont="1" applyBorder="1"/>
    <xf numFmtId="0" fontId="0" fillId="12" borderId="2" xfId="0" applyFill="1" applyBorder="1" applyAlignment="1">
      <alignment wrapText="1"/>
    </xf>
    <xf numFmtId="171" fontId="0" fillId="14" borderId="116" xfId="2" applyNumberFormat="1" applyFont="1" applyFill="1" applyBorder="1" applyProtection="1">
      <protection locked="0"/>
    </xf>
    <xf numFmtId="166" fontId="0" fillId="0" borderId="28" xfId="0" applyNumberFormat="1" applyBorder="1"/>
    <xf numFmtId="0" fontId="0" fillId="0" borderId="28"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19" xfId="0" applyBorder="1" applyAlignment="1" applyProtection="1">
      <alignment wrapText="1"/>
      <protection locked="0"/>
    </xf>
    <xf numFmtId="9" fontId="0" fillId="12" borderId="35" xfId="2" applyFont="1" applyFill="1" applyBorder="1" applyAlignment="1" applyProtection="1">
      <alignment horizontal="center"/>
      <protection locked="0"/>
    </xf>
    <xf numFmtId="0" fontId="0" fillId="2" borderId="1" xfId="0" applyFont="1" applyFill="1" applyBorder="1" applyAlignment="1" applyProtection="1">
      <alignment wrapText="1"/>
      <protection locked="0"/>
    </xf>
    <xf numFmtId="0" fontId="23" fillId="0" borderId="21" xfId="3" applyFont="1" applyBorder="1" applyAlignment="1">
      <alignment horizontal="center"/>
    </xf>
    <xf numFmtId="172" fontId="0" fillId="12" borderId="54" xfId="0" applyNumberFormat="1" applyFill="1" applyBorder="1" applyAlignment="1">
      <alignment horizontal="center"/>
    </xf>
    <xf numFmtId="172" fontId="0" fillId="12" borderId="57" xfId="0" applyNumberForma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2" fontId="0" fillId="12" borderId="35" xfId="0" applyNumberFormat="1" applyFont="1" applyFill="1" applyBorder="1" applyAlignment="1">
      <alignment horizontal="right"/>
    </xf>
    <xf numFmtId="2" fontId="8" fillId="12" borderId="35" xfId="4" applyNumberFormat="1" applyFont="1" applyFill="1" applyBorder="1" applyAlignment="1">
      <alignment horizontal="right"/>
    </xf>
    <xf numFmtId="2" fontId="0" fillId="12" borderId="35" xfId="0" applyNumberFormat="1" applyFont="1" applyFill="1" applyBorder="1" applyAlignment="1">
      <alignment horizontal="right" vertical="top"/>
    </xf>
    <xf numFmtId="2" fontId="0" fillId="12" borderId="35" xfId="0" applyNumberFormat="1" applyFont="1" applyFill="1" applyBorder="1"/>
    <xf numFmtId="43" fontId="8" fillId="12" borderId="35" xfId="4" applyNumberFormat="1" applyFont="1" applyFill="1" applyBorder="1"/>
    <xf numFmtId="43" fontId="8" fillId="12" borderId="35" xfId="4" applyNumberFormat="1" applyFont="1" applyFill="1" applyBorder="1" applyAlignment="1">
      <alignment horizontal="right"/>
    </xf>
    <xf numFmtId="43" fontId="0" fillId="12" borderId="35" xfId="0" applyNumberFormat="1" applyFont="1" applyFill="1" applyBorder="1" applyAlignment="1">
      <alignment horizontal="right" vertical="top"/>
    </xf>
    <xf numFmtId="0" fontId="2" fillId="3" borderId="1" xfId="0" applyFont="1" applyFill="1" applyBorder="1" applyAlignment="1" applyProtection="1">
      <alignment wrapText="1"/>
      <protection locked="0"/>
    </xf>
    <xf numFmtId="166" fontId="0" fillId="3" borderId="0" xfId="1" applyNumberFormat="1" applyFont="1" applyFill="1" applyBorder="1"/>
    <xf numFmtId="0" fontId="2" fillId="3" borderId="1" xfId="0" applyFont="1" applyFill="1" applyBorder="1" applyAlignment="1">
      <alignment wrapText="1"/>
    </xf>
    <xf numFmtId="0" fontId="0" fillId="3" borderId="1" xfId="0" applyFont="1" applyFill="1" applyBorder="1" applyAlignment="1" applyProtection="1">
      <alignment wrapText="1"/>
      <protection locked="0"/>
    </xf>
    <xf numFmtId="0" fontId="2" fillId="0" borderId="4" xfId="0" applyFont="1" applyBorder="1" applyAlignment="1"/>
    <xf numFmtId="0" fontId="0" fillId="3" borderId="1" xfId="0" applyFill="1" applyBorder="1" applyAlignment="1" applyProtection="1">
      <alignment wrapText="1"/>
      <protection locked="0"/>
    </xf>
    <xf numFmtId="0" fontId="15" fillId="0" borderId="0" xfId="0" applyFont="1"/>
    <xf numFmtId="0" fontId="0" fillId="4" borderId="2" xfId="0" applyFill="1" applyBorder="1" applyAlignment="1">
      <alignment wrapText="1"/>
    </xf>
    <xf numFmtId="0" fontId="0" fillId="3" borderId="0" xfId="0" applyFill="1"/>
    <xf numFmtId="0" fontId="0" fillId="0" borderId="0" xfId="0" applyAlignment="1">
      <alignment horizontal="left" vertical="center" wrapText="1"/>
    </xf>
    <xf numFmtId="0" fontId="0" fillId="0" borderId="10" xfId="0" applyBorder="1" applyAlignment="1">
      <alignment horizontal="left"/>
    </xf>
    <xf numFmtId="0" fontId="0" fillId="0" borderId="11" xfId="0" applyBorder="1" applyAlignment="1">
      <alignment horizontal="left"/>
    </xf>
    <xf numFmtId="0" fontId="2" fillId="0" borderId="0" xfId="0" applyFont="1" applyAlignment="1">
      <alignment vertical="center"/>
    </xf>
    <xf numFmtId="0" fontId="2" fillId="0" borderId="4" xfId="0" applyFont="1" applyFill="1" applyBorder="1" applyAlignment="1"/>
    <xf numFmtId="0" fontId="0" fillId="0" borderId="1" xfId="0" applyFill="1" applyBorder="1" applyAlignment="1">
      <alignment wrapText="1"/>
    </xf>
    <xf numFmtId="166" fontId="0" fillId="0" borderId="6" xfId="1" applyNumberFormat="1" applyFont="1" applyFill="1" applyBorder="1"/>
    <xf numFmtId="166" fontId="0" fillId="0" borderId="0" xfId="0" applyNumberFormat="1" applyFill="1"/>
    <xf numFmtId="0" fontId="0" fillId="4" borderId="53" xfId="0" applyFill="1" applyBorder="1" applyProtection="1">
      <protection locked="0"/>
    </xf>
    <xf numFmtId="0" fontId="0" fillId="4" borderId="53" xfId="0" applyFill="1" applyBorder="1" applyAlignment="1" applyProtection="1">
      <alignment horizontal="center"/>
      <protection locked="0"/>
    </xf>
    <xf numFmtId="9" fontId="0" fillId="4" borderId="53" xfId="2" applyFont="1" applyFill="1" applyBorder="1" applyProtection="1">
      <protection locked="0"/>
    </xf>
    <xf numFmtId="9" fontId="0" fillId="4" borderId="54" xfId="2" applyFont="1" applyFill="1" applyBorder="1" applyProtection="1">
      <protection locked="0"/>
    </xf>
    <xf numFmtId="9" fontId="0" fillId="4" borderId="54" xfId="2" applyFont="1" applyFill="1" applyBorder="1" applyAlignment="1" applyProtection="1">
      <alignment horizontal="right"/>
      <protection locked="0"/>
    </xf>
    <xf numFmtId="0" fontId="0" fillId="4" borderId="56" xfId="0" applyFill="1" applyBorder="1" applyProtection="1">
      <protection locked="0"/>
    </xf>
    <xf numFmtId="9" fontId="0" fillId="4" borderId="57" xfId="2" applyFont="1" applyFill="1" applyBorder="1" applyProtection="1">
      <protection locked="0"/>
    </xf>
    <xf numFmtId="0" fontId="0" fillId="4" borderId="51" xfId="0" applyFill="1" applyBorder="1" applyProtection="1">
      <protection locked="0"/>
    </xf>
    <xf numFmtId="0" fontId="0" fillId="4" borderId="54" xfId="0" applyFill="1" applyBorder="1" applyProtection="1">
      <protection locked="0"/>
    </xf>
    <xf numFmtId="0" fontId="0" fillId="4" borderId="54" xfId="0" applyFill="1" applyBorder="1" applyAlignment="1" applyProtection="1">
      <alignment horizontal="center"/>
      <protection locked="0"/>
    </xf>
    <xf numFmtId="0" fontId="0" fillId="4" borderId="57" xfId="0" applyFill="1" applyBorder="1" applyAlignment="1" applyProtection="1">
      <alignment horizontal="center"/>
      <protection locked="0"/>
    </xf>
    <xf numFmtId="9" fontId="0" fillId="12" borderId="54" xfId="2" applyFont="1" applyFill="1" applyBorder="1" applyProtection="1"/>
    <xf numFmtId="0" fontId="0" fillId="0" borderId="32" xfId="0" applyBorder="1" applyProtection="1"/>
    <xf numFmtId="0" fontId="6" fillId="0" borderId="21" xfId="0" applyFont="1" applyBorder="1" applyAlignment="1" applyProtection="1"/>
    <xf numFmtId="0" fontId="0" fillId="0" borderId="21" xfId="0" applyBorder="1" applyProtection="1"/>
    <xf numFmtId="0" fontId="0" fillId="0" borderId="26" xfId="0" applyBorder="1" applyProtection="1"/>
    <xf numFmtId="0" fontId="0" fillId="0" borderId="140" xfId="0" applyBorder="1" applyProtection="1"/>
    <xf numFmtId="0" fontId="25" fillId="14" borderId="0" xfId="3" applyFont="1" applyFill="1" applyBorder="1" applyAlignment="1" applyProtection="1">
      <alignment vertical="center" wrapText="1"/>
    </xf>
    <xf numFmtId="0" fontId="0" fillId="0" borderId="25" xfId="0" applyBorder="1" applyProtection="1"/>
    <xf numFmtId="0" fontId="0" fillId="0" borderId="114" xfId="0" applyFill="1" applyBorder="1" applyAlignment="1" applyProtection="1">
      <alignment horizontal="left"/>
    </xf>
    <xf numFmtId="0" fontId="0" fillId="3" borderId="28" xfId="0" applyFill="1" applyBorder="1" applyProtection="1"/>
    <xf numFmtId="0" fontId="0" fillId="0" borderId="28" xfId="0" applyBorder="1" applyProtection="1"/>
    <xf numFmtId="0" fontId="0" fillId="0" borderId="115" xfId="0" applyBorder="1" applyProtection="1"/>
    <xf numFmtId="6" fontId="0" fillId="0" borderId="28" xfId="0" applyNumberFormat="1" applyBorder="1" applyProtection="1"/>
    <xf numFmtId="0" fontId="0" fillId="0" borderId="122" xfId="0" applyFill="1" applyBorder="1" applyAlignment="1" applyProtection="1">
      <alignment horizontal="left"/>
    </xf>
    <xf numFmtId="9" fontId="0" fillId="12" borderId="117" xfId="0" applyNumberFormat="1" applyFill="1" applyBorder="1" applyAlignment="1" applyProtection="1">
      <alignment horizontal="center"/>
    </xf>
    <xf numFmtId="0" fontId="0" fillId="0" borderId="117" xfId="0" applyBorder="1" applyAlignment="1" applyProtection="1">
      <alignment horizontal="center"/>
    </xf>
    <xf numFmtId="9" fontId="0" fillId="12" borderId="118" xfId="0" applyNumberFormat="1" applyFill="1" applyBorder="1" applyAlignment="1" applyProtection="1">
      <alignment horizontal="center"/>
    </xf>
    <xf numFmtId="0" fontId="0" fillId="0" borderId="23" xfId="0" applyBorder="1" applyProtection="1"/>
    <xf numFmtId="0" fontId="0" fillId="0" borderId="24" xfId="0" applyBorder="1" applyProtection="1"/>
    <xf numFmtId="0" fontId="2" fillId="2" borderId="120" xfId="0" applyFont="1" applyFill="1" applyBorder="1" applyProtection="1"/>
    <xf numFmtId="0" fontId="2" fillId="2" borderId="121" xfId="0" applyFont="1" applyFill="1" applyBorder="1" applyAlignment="1" applyProtection="1">
      <alignment horizontal="center" wrapText="1"/>
    </xf>
    <xf numFmtId="0" fontId="0" fillId="0" borderId="114" xfId="0" applyFont="1" applyBorder="1" applyProtection="1"/>
    <xf numFmtId="166" fontId="2" fillId="0" borderId="115" xfId="1" applyNumberFormat="1" applyFont="1" applyFill="1" applyBorder="1" applyAlignment="1" applyProtection="1">
      <alignment horizontal="center" wrapText="1"/>
    </xf>
    <xf numFmtId="0" fontId="0" fillId="0" borderId="114" xfId="0" applyBorder="1" applyProtection="1"/>
    <xf numFmtId="166" fontId="1" fillId="0" borderId="115" xfId="1" applyNumberFormat="1" applyFont="1" applyFill="1" applyBorder="1" applyAlignment="1" applyProtection="1">
      <alignment horizontal="center" wrapText="1"/>
    </xf>
    <xf numFmtId="165" fontId="0" fillId="0" borderId="115" xfId="0" applyNumberFormat="1" applyBorder="1" applyProtection="1"/>
    <xf numFmtId="0" fontId="0" fillId="0" borderId="25" xfId="0" applyBorder="1" applyAlignment="1" applyProtection="1"/>
    <xf numFmtId="0" fontId="0" fillId="0" borderId="114" xfId="0" applyBorder="1" applyAlignment="1" applyProtection="1">
      <alignment horizontal="left" indent="2"/>
    </xf>
    <xf numFmtId="166" fontId="0" fillId="0" borderId="115" xfId="1" applyNumberFormat="1" applyFont="1" applyBorder="1" applyProtection="1"/>
    <xf numFmtId="0" fontId="0" fillId="0" borderId="114" xfId="0" applyFont="1" applyBorder="1" applyAlignment="1" applyProtection="1">
      <alignment horizontal="left" indent="2"/>
    </xf>
    <xf numFmtId="0" fontId="2" fillId="0" borderId="115" xfId="0" applyFont="1" applyBorder="1" applyProtection="1"/>
    <xf numFmtId="0" fontId="0" fillId="0" borderId="115" xfId="0" applyFont="1" applyBorder="1" applyProtection="1"/>
    <xf numFmtId="0" fontId="0" fillId="0" borderId="122" xfId="0" applyBorder="1" applyAlignment="1" applyProtection="1">
      <alignment horizontal="left" indent="2"/>
    </xf>
    <xf numFmtId="166" fontId="0" fillId="0" borderId="118" xfId="1" applyNumberFormat="1" applyFont="1" applyBorder="1" applyProtection="1"/>
    <xf numFmtId="0" fontId="0" fillId="3" borderId="28" xfId="0" applyFill="1" applyBorder="1" applyProtection="1">
      <protection locked="0"/>
    </xf>
    <xf numFmtId="0" fontId="0" fillId="3" borderId="28" xfId="0" applyFill="1" applyBorder="1" applyAlignment="1" applyProtection="1">
      <alignment horizontal="center"/>
      <protection locked="0"/>
    </xf>
    <xf numFmtId="6" fontId="0" fillId="3" borderId="28" xfId="0" applyNumberFormat="1" applyFill="1" applyBorder="1" applyAlignment="1" applyProtection="1">
      <alignment horizontal="center"/>
      <protection locked="0"/>
    </xf>
    <xf numFmtId="0" fontId="0" fillId="14" borderId="144" xfId="0" applyFill="1" applyBorder="1" applyProtection="1"/>
    <xf numFmtId="0" fontId="0" fillId="14" borderId="26" xfId="0" applyFill="1" applyBorder="1" applyProtection="1"/>
    <xf numFmtId="0" fontId="3" fillId="14" borderId="141" xfId="3" applyFill="1" applyBorder="1" applyAlignment="1" applyProtection="1">
      <alignment horizontal="center" vertical="center"/>
    </xf>
    <xf numFmtId="0" fontId="3" fillId="14" borderId="138" xfId="3" applyFill="1" applyBorder="1" applyAlignment="1" applyProtection="1">
      <alignment horizontal="center" vertical="center"/>
    </xf>
    <xf numFmtId="0" fontId="0" fillId="0" borderId="49" xfId="0" applyFill="1" applyBorder="1" applyAlignment="1" applyProtection="1">
      <alignment horizontal="left"/>
    </xf>
    <xf numFmtId="0" fontId="0" fillId="0" borderId="130" xfId="0" applyBorder="1" applyProtection="1"/>
    <xf numFmtId="0" fontId="0" fillId="0" borderId="95" xfId="0" applyBorder="1" applyProtection="1"/>
    <xf numFmtId="0" fontId="0" fillId="0" borderId="52" xfId="0" applyFill="1" applyBorder="1" applyAlignment="1" applyProtection="1">
      <alignment horizontal="left"/>
    </xf>
    <xf numFmtId="0" fontId="0" fillId="0" borderId="129" xfId="0" applyBorder="1" applyProtection="1"/>
    <xf numFmtId="9" fontId="0" fillId="12" borderId="75" xfId="2" applyFont="1" applyFill="1" applyBorder="1" applyAlignment="1" applyProtection="1">
      <alignment horizontal="center"/>
    </xf>
    <xf numFmtId="0" fontId="0" fillId="0" borderId="52" xfId="0" applyBorder="1" applyAlignment="1" applyProtection="1">
      <alignment horizontal="left"/>
    </xf>
    <xf numFmtId="6" fontId="0" fillId="0" borderId="52" xfId="0" applyNumberFormat="1" applyBorder="1" applyAlignment="1" applyProtection="1">
      <alignment horizontal="left"/>
    </xf>
    <xf numFmtId="0" fontId="0" fillId="0" borderId="55" xfId="0" applyBorder="1" applyAlignment="1" applyProtection="1">
      <alignment horizontal="left"/>
    </xf>
    <xf numFmtId="0" fontId="2" fillId="15" borderId="79" xfId="0" applyFont="1" applyFill="1" applyBorder="1" applyProtection="1"/>
    <xf numFmtId="0" fontId="2" fillId="15" borderId="89" xfId="0" applyFont="1" applyFill="1" applyBorder="1" applyAlignment="1" applyProtection="1">
      <alignment horizontal="center" wrapText="1"/>
    </xf>
    <xf numFmtId="0" fontId="0" fillId="0" borderId="94" xfId="0" applyBorder="1" applyProtection="1"/>
    <xf numFmtId="0" fontId="0" fillId="0" borderId="80" xfId="0" applyFont="1" applyBorder="1" applyProtection="1"/>
    <xf numFmtId="166" fontId="2" fillId="12" borderId="3" xfId="1" applyNumberFormat="1" applyFont="1" applyFill="1" applyBorder="1" applyAlignment="1" applyProtection="1">
      <alignment horizontal="center" wrapText="1"/>
    </xf>
    <xf numFmtId="0" fontId="0" fillId="0" borderId="96" xfId="0" applyBorder="1" applyProtection="1"/>
    <xf numFmtId="0" fontId="0" fillId="0" borderId="97" xfId="0" applyBorder="1" applyProtection="1"/>
    <xf numFmtId="0" fontId="0" fillId="0" borderId="80" xfId="0" applyBorder="1" applyProtection="1"/>
    <xf numFmtId="169" fontId="0" fillId="12" borderId="3" xfId="0" applyNumberFormat="1" applyFill="1" applyBorder="1" applyProtection="1"/>
    <xf numFmtId="165" fontId="0" fillId="12" borderId="3" xfId="0" applyNumberFormat="1" applyFill="1" applyBorder="1" applyProtection="1"/>
    <xf numFmtId="166" fontId="0" fillId="12" borderId="3" xfId="1" applyNumberFormat="1" applyFont="1" applyFill="1" applyBorder="1" applyProtection="1"/>
    <xf numFmtId="0" fontId="0" fillId="0" borderId="98" xfId="0" applyBorder="1" applyProtection="1"/>
    <xf numFmtId="0" fontId="0" fillId="0" borderId="99" xfId="0" applyBorder="1" applyProtection="1"/>
    <xf numFmtId="0" fontId="2" fillId="15" borderId="80" xfId="0" applyFont="1" applyFill="1" applyBorder="1" applyAlignment="1" applyProtection="1">
      <alignment horizontal="left"/>
    </xf>
    <xf numFmtId="0" fontId="2" fillId="15" borderId="3" xfId="0" applyFont="1" applyFill="1" applyBorder="1" applyProtection="1"/>
    <xf numFmtId="0" fontId="2" fillId="15" borderId="12" xfId="0" applyFont="1" applyFill="1" applyBorder="1" applyAlignment="1" applyProtection="1">
      <alignment wrapText="1"/>
    </xf>
    <xf numFmtId="0" fontId="2" fillId="15" borderId="93" xfId="0" applyFont="1" applyFill="1" applyBorder="1" applyAlignment="1" applyProtection="1">
      <alignment wrapText="1"/>
    </xf>
    <xf numFmtId="0" fontId="0" fillId="0" borderId="80" xfId="0" applyBorder="1" applyAlignment="1" applyProtection="1">
      <alignment horizontal="left" indent="2"/>
    </xf>
    <xf numFmtId="172" fontId="0" fillId="12" borderId="3" xfId="0" applyNumberFormat="1" applyFill="1" applyBorder="1" applyProtection="1"/>
    <xf numFmtId="172" fontId="0" fillId="12" borderId="75" xfId="0" applyNumberFormat="1" applyFill="1" applyBorder="1" applyProtection="1"/>
    <xf numFmtId="0" fontId="0" fillId="0" borderId="80" xfId="0" applyFont="1" applyBorder="1" applyAlignment="1" applyProtection="1">
      <alignment horizontal="left" indent="2"/>
    </xf>
    <xf numFmtId="0" fontId="2" fillId="15" borderId="3" xfId="0" applyFont="1" applyFill="1" applyBorder="1" applyAlignment="1" applyProtection="1">
      <alignment wrapText="1"/>
    </xf>
    <xf numFmtId="0" fontId="2" fillId="15" borderId="75" xfId="0" applyFont="1" applyFill="1" applyBorder="1" applyAlignment="1" applyProtection="1">
      <alignment wrapText="1"/>
    </xf>
    <xf numFmtId="166" fontId="0" fillId="12" borderId="75" xfId="1" applyNumberFormat="1" applyFont="1" applyFill="1" applyBorder="1" applyProtection="1"/>
    <xf numFmtId="0" fontId="0" fillId="0" borderId="90" xfId="0" applyFont="1" applyBorder="1" applyAlignment="1" applyProtection="1">
      <alignment horizontal="left" indent="2"/>
    </xf>
    <xf numFmtId="166" fontId="0" fillId="12" borderId="91" xfId="1" applyNumberFormat="1" applyFont="1" applyFill="1" applyBorder="1" applyProtection="1"/>
    <xf numFmtId="166" fontId="0" fillId="12" borderId="92" xfId="1" applyNumberFormat="1" applyFont="1" applyFill="1" applyBorder="1" applyProtection="1"/>
    <xf numFmtId="0" fontId="0" fillId="0" borderId="22" xfId="0" applyBorder="1" applyProtection="1"/>
    <xf numFmtId="0" fontId="2" fillId="0" borderId="28" xfId="0" applyFont="1" applyBorder="1" applyAlignment="1" applyProtection="1"/>
    <xf numFmtId="0" fontId="2" fillId="0" borderId="28" xfId="0" applyFont="1" applyBorder="1" applyAlignment="1" applyProtection="1">
      <alignment horizontal="center"/>
    </xf>
    <xf numFmtId="0" fontId="2" fillId="3" borderId="28" xfId="0" applyFont="1" applyFill="1" applyBorder="1" applyAlignment="1" applyProtection="1">
      <alignment horizontal="center"/>
    </xf>
    <xf numFmtId="0" fontId="0" fillId="0" borderId="146" xfId="0" applyBorder="1" applyProtection="1"/>
    <xf numFmtId="0" fontId="0" fillId="0" borderId="28" xfId="0" applyBorder="1" applyAlignment="1" applyProtection="1">
      <alignment wrapText="1"/>
    </xf>
    <xf numFmtId="0" fontId="0" fillId="0" borderId="28" xfId="0" applyFill="1" applyBorder="1" applyAlignment="1" applyProtection="1">
      <alignment wrapText="1"/>
    </xf>
    <xf numFmtId="0" fontId="0" fillId="2" borderId="28" xfId="0" applyFill="1" applyBorder="1" applyAlignment="1" applyProtection="1">
      <alignment wrapText="1"/>
    </xf>
    <xf numFmtId="0" fontId="0" fillId="3" borderId="28" xfId="0" applyFill="1" applyBorder="1" applyAlignment="1" applyProtection="1">
      <alignment wrapText="1"/>
    </xf>
    <xf numFmtId="0" fontId="0" fillId="2" borderId="1" xfId="0" applyFont="1" applyFill="1" applyBorder="1" applyAlignment="1" applyProtection="1">
      <alignment wrapText="1"/>
    </xf>
    <xf numFmtId="0" fontId="0" fillId="3" borderId="1" xfId="0" applyFont="1" applyFill="1" applyBorder="1" applyAlignment="1" applyProtection="1">
      <alignment wrapText="1"/>
    </xf>
    <xf numFmtId="0" fontId="0" fillId="0" borderId="28" xfId="0" applyBorder="1" applyAlignment="1" applyProtection="1">
      <alignment horizontal="left"/>
    </xf>
    <xf numFmtId="166" fontId="0" fillId="0" borderId="28" xfId="1" applyNumberFormat="1" applyFont="1" applyBorder="1" applyProtection="1"/>
    <xf numFmtId="166" fontId="0" fillId="0" borderId="28" xfId="0" applyNumberFormat="1" applyBorder="1" applyProtection="1"/>
    <xf numFmtId="166" fontId="0" fillId="2" borderId="28" xfId="0" applyNumberFormat="1" applyFill="1" applyBorder="1" applyProtection="1"/>
    <xf numFmtId="0" fontId="0" fillId="2" borderId="28" xfId="0" applyFill="1" applyBorder="1" applyProtection="1"/>
    <xf numFmtId="166" fontId="0" fillId="3" borderId="28" xfId="0" applyNumberFormat="1" applyFill="1" applyBorder="1" applyProtection="1"/>
    <xf numFmtId="166" fontId="0" fillId="3" borderId="28" xfId="1" applyNumberFormat="1" applyFont="1" applyFill="1" applyBorder="1" applyProtection="1"/>
    <xf numFmtId="166" fontId="0" fillId="3" borderId="21" xfId="0" applyNumberFormat="1" applyFill="1" applyBorder="1" applyProtection="1"/>
    <xf numFmtId="166" fontId="0" fillId="0" borderId="23" xfId="0" applyNumberFormat="1" applyBorder="1" applyProtection="1"/>
    <xf numFmtId="166" fontId="0" fillId="11" borderId="21" xfId="0" applyNumberFormat="1" applyFill="1" applyBorder="1" applyProtection="1"/>
    <xf numFmtId="166" fontId="0" fillId="0" borderId="0" xfId="1" applyNumberFormat="1" applyFont="1" applyBorder="1" applyProtection="1"/>
    <xf numFmtId="166" fontId="0" fillId="3" borderId="0" xfId="1" applyNumberFormat="1" applyFont="1" applyFill="1" applyBorder="1" applyProtection="1"/>
    <xf numFmtId="166" fontId="0" fillId="0" borderId="21" xfId="0" applyNumberFormat="1" applyBorder="1" applyProtection="1"/>
    <xf numFmtId="0" fontId="0" fillId="3" borderId="51" xfId="0" applyFill="1" applyBorder="1" applyProtection="1">
      <protection locked="0"/>
    </xf>
    <xf numFmtId="6" fontId="0" fillId="3" borderId="54" xfId="0" applyNumberFormat="1" applyFill="1" applyBorder="1" applyAlignment="1" applyProtection="1">
      <alignment horizontal="center"/>
      <protection locked="0"/>
    </xf>
    <xf numFmtId="6" fontId="0" fillId="3" borderId="54" xfId="0" applyNumberFormat="1" applyFill="1" applyBorder="1" applyAlignment="1" applyProtection="1">
      <alignment horizontal="center" wrapText="1"/>
      <protection locked="0"/>
    </xf>
    <xf numFmtId="9" fontId="0" fillId="10" borderId="54" xfId="2" applyFont="1" applyFill="1" applyBorder="1" applyAlignment="1" applyProtection="1">
      <alignment horizontal="center"/>
      <protection locked="0"/>
    </xf>
    <xf numFmtId="9" fontId="0" fillId="3" borderId="54" xfId="2" applyFont="1" applyFill="1" applyBorder="1" applyAlignment="1" applyProtection="1">
      <alignment horizontal="center"/>
      <protection locked="0"/>
    </xf>
    <xf numFmtId="9" fontId="0" fillId="3" borderId="54" xfId="0" applyNumberFormat="1" applyFill="1" applyBorder="1" applyAlignment="1" applyProtection="1">
      <alignment horizontal="center"/>
      <protection locked="0"/>
    </xf>
    <xf numFmtId="166" fontId="0" fillId="10" borderId="54" xfId="1" applyNumberFormat="1" applyFont="1" applyFill="1" applyBorder="1" applyAlignment="1" applyProtection="1">
      <alignment horizontal="right"/>
      <protection locked="0"/>
    </xf>
    <xf numFmtId="0" fontId="0" fillId="3" borderId="54" xfId="0" applyFill="1" applyBorder="1" applyProtection="1">
      <protection locked="0"/>
    </xf>
    <xf numFmtId="6" fontId="0" fillId="3" borderId="57" xfId="0" applyNumberFormat="1" applyFill="1" applyBorder="1" applyAlignment="1" applyProtection="1">
      <alignment horizontal="center"/>
      <protection locked="0"/>
    </xf>
    <xf numFmtId="0" fontId="0" fillId="14" borderId="0" xfId="0" applyFill="1" applyProtection="1"/>
    <xf numFmtId="0" fontId="23" fillId="14" borderId="0" xfId="3" applyFont="1" applyFill="1" applyBorder="1" applyAlignment="1" applyProtection="1">
      <alignment horizontal="center" vertical="center"/>
    </xf>
    <xf numFmtId="0" fontId="0" fillId="0" borderId="83" xfId="0" applyFill="1" applyBorder="1" applyProtection="1"/>
    <xf numFmtId="0" fontId="0" fillId="0" borderId="84" xfId="0" applyFill="1" applyBorder="1" applyProtection="1"/>
    <xf numFmtId="0" fontId="0" fillId="0" borderId="85" xfId="0" applyFill="1" applyBorder="1" applyProtection="1"/>
    <xf numFmtId="0" fontId="0" fillId="0" borderId="52" xfId="0" applyFill="1" applyBorder="1" applyAlignment="1" applyProtection="1">
      <alignment horizontal="left" indent="2"/>
    </xf>
    <xf numFmtId="0" fontId="0" fillId="0" borderId="55" xfId="0" applyFill="1" applyBorder="1" applyAlignment="1" applyProtection="1">
      <alignment horizontal="left"/>
    </xf>
    <xf numFmtId="0" fontId="2" fillId="15" borderId="73" xfId="0" applyFont="1" applyFill="1" applyBorder="1" applyProtection="1"/>
    <xf numFmtId="0" fontId="2" fillId="15" borderId="74" xfId="0" applyFont="1" applyFill="1" applyBorder="1" applyAlignment="1" applyProtection="1">
      <alignment horizontal="center" wrapText="1"/>
    </xf>
    <xf numFmtId="0" fontId="0" fillId="0" borderId="139" xfId="0" applyFill="1" applyBorder="1" applyProtection="1"/>
    <xf numFmtId="0" fontId="0" fillId="0" borderId="52" xfId="0" applyFont="1" applyBorder="1" applyProtection="1"/>
    <xf numFmtId="166" fontId="2" fillId="12" borderId="54" xfId="0" applyNumberFormat="1" applyFont="1" applyFill="1" applyBorder="1" applyAlignment="1" applyProtection="1">
      <alignment horizontal="center" wrapText="1"/>
    </xf>
    <xf numFmtId="0" fontId="0" fillId="0" borderId="52" xfId="0" applyBorder="1" applyProtection="1"/>
    <xf numFmtId="166" fontId="0" fillId="12" borderId="54" xfId="1" applyNumberFormat="1" applyFont="1" applyFill="1" applyBorder="1" applyProtection="1"/>
    <xf numFmtId="165" fontId="0" fillId="12" borderId="54" xfId="0" applyNumberFormat="1" applyFill="1" applyBorder="1" applyProtection="1"/>
    <xf numFmtId="0" fontId="2" fillId="15" borderId="69" xfId="0" applyFont="1" applyFill="1" applyBorder="1" applyProtection="1"/>
    <xf numFmtId="0" fontId="2" fillId="15" borderId="82" xfId="0" applyFont="1" applyFill="1" applyBorder="1" applyAlignment="1" applyProtection="1">
      <alignment wrapText="1"/>
    </xf>
    <xf numFmtId="0" fontId="0" fillId="0" borderId="52" xfId="0" applyBorder="1" applyAlignment="1" applyProtection="1">
      <alignment horizontal="left" indent="2"/>
    </xf>
    <xf numFmtId="0" fontId="0" fillId="0" borderId="52" xfId="0" applyFont="1" applyBorder="1" applyAlignment="1" applyProtection="1">
      <alignment horizontal="left" indent="2"/>
    </xf>
    <xf numFmtId="2" fontId="0" fillId="12" borderId="54" xfId="0" applyNumberFormat="1" applyFill="1" applyBorder="1" applyProtection="1"/>
    <xf numFmtId="0" fontId="2" fillId="15" borderId="69" xfId="0" applyFont="1" applyFill="1" applyBorder="1" applyAlignment="1" applyProtection="1">
      <alignment horizontal="left"/>
    </xf>
    <xf numFmtId="0" fontId="0" fillId="15" borderId="71" xfId="0" applyFill="1" applyBorder="1" applyProtection="1"/>
    <xf numFmtId="166" fontId="0" fillId="12" borderId="78" xfId="1" applyNumberFormat="1" applyFont="1" applyFill="1" applyBorder="1" applyProtection="1"/>
    <xf numFmtId="0" fontId="0" fillId="0" borderId="55" xfId="0" applyFont="1" applyBorder="1" applyAlignment="1" applyProtection="1">
      <alignment horizontal="left" indent="2"/>
    </xf>
    <xf numFmtId="166" fontId="0" fillId="12" borderId="57" xfId="1" applyNumberFormat="1" applyFont="1" applyFill="1" applyBorder="1" applyProtection="1"/>
    <xf numFmtId="0" fontId="0" fillId="0" borderId="21" xfId="0" applyFont="1" applyBorder="1" applyProtection="1"/>
    <xf numFmtId="0" fontId="0" fillId="0" borderId="22" xfId="0" applyFont="1" applyBorder="1" applyProtection="1"/>
    <xf numFmtId="0" fontId="0" fillId="15" borderId="1" xfId="0" applyFont="1" applyFill="1" applyBorder="1" applyAlignment="1" applyProtection="1">
      <alignment wrapText="1"/>
    </xf>
    <xf numFmtId="0" fontId="0" fillId="4" borderId="1" xfId="0" applyFont="1" applyFill="1" applyBorder="1" applyAlignment="1" applyProtection="1">
      <alignment wrapText="1"/>
    </xf>
    <xf numFmtId="1" fontId="0" fillId="0" borderId="28" xfId="0" applyNumberFormat="1" applyBorder="1" applyAlignment="1" applyProtection="1">
      <alignment horizontal="left"/>
    </xf>
    <xf numFmtId="166" fontId="0" fillId="15" borderId="28" xfId="1" applyNumberFormat="1" applyFont="1" applyFill="1" applyBorder="1" applyProtection="1"/>
    <xf numFmtId="166" fontId="0" fillId="15" borderId="28" xfId="0" applyNumberFormat="1" applyFill="1" applyBorder="1" applyProtection="1"/>
    <xf numFmtId="166" fontId="0" fillId="4" borderId="28" xfId="1" applyNumberFormat="1" applyFont="1" applyFill="1" applyBorder="1" applyProtection="1"/>
    <xf numFmtId="0" fontId="23" fillId="14" borderId="141" xfId="3" applyFont="1" applyFill="1" applyBorder="1" applyAlignment="1" applyProtection="1">
      <alignment horizontal="center" vertical="center"/>
    </xf>
    <xf numFmtId="0" fontId="23" fillId="14" borderId="138" xfId="3" applyFont="1" applyFill="1" applyBorder="1" applyAlignment="1" applyProtection="1">
      <alignment horizontal="center" vertical="center"/>
    </xf>
    <xf numFmtId="0" fontId="2" fillId="0" borderId="49" xfId="0" applyFont="1" applyFill="1" applyBorder="1" applyAlignment="1" applyProtection="1">
      <alignment horizontal="left"/>
    </xf>
    <xf numFmtId="1" fontId="0" fillId="12" borderId="51" xfId="0" applyNumberFormat="1" applyFont="1" applyFill="1" applyBorder="1" applyAlignment="1" applyProtection="1">
      <alignment horizontal="center" wrapText="1"/>
    </xf>
    <xf numFmtId="0" fontId="24" fillId="0" borderId="26" xfId="0" applyFont="1" applyBorder="1" applyProtection="1"/>
    <xf numFmtId="0" fontId="0" fillId="0" borderId="114" xfId="0" applyBorder="1" applyAlignment="1" applyProtection="1">
      <alignment horizontal="left"/>
    </xf>
    <xf numFmtId="0" fontId="25" fillId="0" borderId="65" xfId="0" applyFont="1" applyBorder="1" applyProtection="1"/>
    <xf numFmtId="0" fontId="0" fillId="2" borderId="90" xfId="0" applyFill="1" applyBorder="1" applyAlignment="1" applyProtection="1"/>
    <xf numFmtId="0" fontId="0" fillId="2" borderId="159" xfId="0" applyFill="1" applyBorder="1" applyAlignment="1" applyProtection="1"/>
    <xf numFmtId="0" fontId="25" fillId="12" borderId="160" xfId="0" applyFont="1" applyFill="1" applyBorder="1" applyProtection="1"/>
    <xf numFmtId="0" fontId="0" fillId="0" borderId="65" xfId="0" applyBorder="1" applyProtection="1"/>
    <xf numFmtId="0" fontId="0" fillId="0" borderId="24" xfId="0" applyFill="1" applyBorder="1" applyProtection="1"/>
    <xf numFmtId="0" fontId="0" fillId="0" borderId="122" xfId="0" applyBorder="1" applyAlignment="1" applyProtection="1">
      <alignment horizontal="left"/>
    </xf>
    <xf numFmtId="0" fontId="2" fillId="15" borderId="110" xfId="0" applyFont="1" applyFill="1" applyBorder="1" applyProtection="1"/>
    <xf numFmtId="0" fontId="2" fillId="15" borderId="111" xfId="0" applyFont="1" applyFill="1" applyBorder="1" applyAlignment="1" applyProtection="1">
      <alignment horizontal="center" wrapText="1"/>
    </xf>
    <xf numFmtId="0" fontId="0" fillId="0" borderId="100" xfId="0" applyBorder="1" applyProtection="1"/>
    <xf numFmtId="0" fontId="0" fillId="0" borderId="101" xfId="0" applyBorder="1" applyProtection="1"/>
    <xf numFmtId="0" fontId="0" fillId="0" borderId="104" xfId="0" applyFont="1" applyBorder="1" applyProtection="1"/>
    <xf numFmtId="1" fontId="2" fillId="12" borderId="105" xfId="0" applyNumberFormat="1" applyFont="1" applyFill="1" applyBorder="1" applyAlignment="1" applyProtection="1">
      <alignment horizontal="right" wrapText="1"/>
    </xf>
    <xf numFmtId="0" fontId="0" fillId="0" borderId="66" xfId="0" applyBorder="1" applyProtection="1"/>
    <xf numFmtId="0" fontId="0" fillId="0" borderId="102" xfId="0" applyBorder="1" applyProtection="1"/>
    <xf numFmtId="1" fontId="0" fillId="12" borderId="54" xfId="1" applyNumberFormat="1" applyFont="1" applyFill="1" applyBorder="1" applyProtection="1"/>
    <xf numFmtId="0" fontId="0" fillId="0" borderId="106" xfId="0" applyBorder="1" applyProtection="1"/>
    <xf numFmtId="165" fontId="0" fillId="12" borderId="68" xfId="0" applyNumberFormat="1" applyFill="1" applyBorder="1" applyProtection="1"/>
    <xf numFmtId="0" fontId="0" fillId="0" borderId="67" xfId="0" applyBorder="1" applyProtection="1"/>
    <xf numFmtId="0" fontId="0" fillId="0" borderId="103" xfId="0" applyBorder="1" applyProtection="1"/>
    <xf numFmtId="0" fontId="2" fillId="15" borderId="107" xfId="0" applyFont="1" applyFill="1" applyBorder="1" applyProtection="1"/>
    <xf numFmtId="0" fontId="0" fillId="15" borderId="108" xfId="0" applyFill="1" applyBorder="1" applyProtection="1"/>
    <xf numFmtId="0" fontId="2" fillId="15" borderId="109" xfId="0" applyFont="1" applyFill="1" applyBorder="1" applyAlignment="1" applyProtection="1">
      <alignment wrapText="1"/>
    </xf>
    <xf numFmtId="0" fontId="2" fillId="15" borderId="72" xfId="0" applyFont="1" applyFill="1" applyBorder="1" applyAlignment="1" applyProtection="1">
      <alignment wrapText="1"/>
    </xf>
    <xf numFmtId="164" fontId="0" fillId="12" borderId="76" xfId="1" applyNumberFormat="1" applyFont="1" applyFill="1" applyBorder="1" applyProtection="1"/>
    <xf numFmtId="164" fontId="0" fillId="12" borderId="77" xfId="1" applyNumberFormat="1" applyFont="1" applyFill="1" applyBorder="1" applyProtection="1"/>
    <xf numFmtId="164" fontId="0" fillId="12" borderId="78" xfId="1" applyNumberFormat="1" applyFont="1" applyFill="1" applyBorder="1" applyProtection="1"/>
    <xf numFmtId="0" fontId="0" fillId="15" borderId="70" xfId="0" applyFill="1" applyBorder="1" applyProtection="1"/>
    <xf numFmtId="166" fontId="0" fillId="12" borderId="76" xfId="1" applyNumberFormat="1" applyFont="1" applyFill="1" applyBorder="1" applyProtection="1"/>
    <xf numFmtId="166" fontId="0" fillId="12" borderId="77" xfId="1" applyNumberFormat="1" applyFont="1" applyFill="1" applyBorder="1" applyProtection="1"/>
    <xf numFmtId="166" fontId="0" fillId="12" borderId="86" xfId="1" applyNumberFormat="1" applyFont="1" applyFill="1" applyBorder="1" applyProtection="1"/>
    <xf numFmtId="166" fontId="0" fillId="12" borderId="87" xfId="1" applyNumberFormat="1" applyFont="1" applyFill="1" applyBorder="1" applyProtection="1"/>
    <xf numFmtId="166" fontId="0" fillId="12" borderId="88" xfId="1" applyNumberFormat="1" applyFont="1" applyFill="1" applyBorder="1" applyProtection="1"/>
    <xf numFmtId="0" fontId="0" fillId="0" borderId="141" xfId="0" applyFont="1" applyBorder="1" applyAlignment="1" applyProtection="1">
      <alignment horizontal="left" indent="2"/>
    </xf>
    <xf numFmtId="166" fontId="0" fillId="0" borderId="138" xfId="1" applyNumberFormat="1" applyFont="1" applyFill="1" applyBorder="1" applyProtection="1"/>
    <xf numFmtId="166" fontId="0" fillId="0" borderId="0" xfId="1" applyNumberFormat="1" applyFont="1" applyFill="1" applyBorder="1" applyProtection="1"/>
    <xf numFmtId="0" fontId="2" fillId="0" borderId="22" xfId="0" applyFont="1" applyBorder="1" applyAlignment="1" applyProtection="1"/>
    <xf numFmtId="0" fontId="2" fillId="0" borderId="22" xfId="0" applyFont="1" applyBorder="1" applyAlignment="1" applyProtection="1">
      <alignment horizontal="center"/>
    </xf>
    <xf numFmtId="0" fontId="2" fillId="0" borderId="140" xfId="0" applyFont="1" applyBorder="1" applyAlignment="1" applyProtection="1"/>
    <xf numFmtId="0" fontId="0" fillId="17" borderId="28" xfId="0" applyFill="1" applyBorder="1" applyAlignment="1" applyProtection="1">
      <alignment wrapText="1"/>
    </xf>
    <xf numFmtId="166" fontId="0" fillId="17" borderId="28" xfId="0" applyNumberFormat="1" applyFill="1" applyBorder="1" applyProtection="1"/>
    <xf numFmtId="0" fontId="0" fillId="17" borderId="28" xfId="0" applyFill="1" applyBorder="1" applyProtection="1"/>
    <xf numFmtId="166" fontId="0" fillId="2" borderId="28" xfId="1" applyNumberFormat="1" applyFont="1" applyFill="1" applyBorder="1" applyProtection="1"/>
    <xf numFmtId="166" fontId="0" fillId="0" borderId="28" xfId="1" applyNumberFormat="1" applyFont="1" applyFill="1" applyBorder="1" applyProtection="1"/>
    <xf numFmtId="0" fontId="0" fillId="3" borderId="158" xfId="0" applyFill="1" applyBorder="1" applyProtection="1">
      <protection locked="0"/>
    </xf>
    <xf numFmtId="166" fontId="0" fillId="3" borderId="158" xfId="1" applyNumberFormat="1" applyFont="1" applyFill="1" applyBorder="1" applyProtection="1">
      <protection locked="0"/>
    </xf>
    <xf numFmtId="9" fontId="0" fillId="3" borderId="158" xfId="2" applyFont="1" applyFill="1" applyBorder="1" applyProtection="1">
      <protection locked="0"/>
    </xf>
    <xf numFmtId="9" fontId="0" fillId="3" borderId="115" xfId="0" applyNumberFormat="1" applyFill="1" applyBorder="1" applyAlignment="1" applyProtection="1">
      <alignment horizontal="center"/>
      <protection locked="0"/>
    </xf>
    <xf numFmtId="0" fontId="0" fillId="3" borderId="115" xfId="0" applyFill="1" applyBorder="1" applyProtection="1">
      <protection locked="0"/>
    </xf>
    <xf numFmtId="9" fontId="0" fillId="3" borderId="118" xfId="0" applyNumberFormat="1" applyFill="1" applyBorder="1" applyAlignment="1" applyProtection="1">
      <alignment horizontal="center"/>
      <protection locked="0"/>
    </xf>
    <xf numFmtId="0" fontId="0" fillId="0" borderId="21" xfId="0" applyFill="1" applyBorder="1" applyProtection="1"/>
    <xf numFmtId="0" fontId="25" fillId="14" borderId="0" xfId="3" applyFont="1" applyFill="1" applyBorder="1" applyAlignment="1" applyProtection="1">
      <alignment horizontal="left" vertical="center" wrapText="1"/>
    </xf>
    <xf numFmtId="6" fontId="0" fillId="0" borderId="21" xfId="0" applyNumberFormat="1" applyBorder="1" applyProtection="1"/>
    <xf numFmtId="0" fontId="0" fillId="0" borderId="21" xfId="0" applyBorder="1" applyAlignment="1" applyProtection="1">
      <alignment horizontal="center"/>
    </xf>
    <xf numFmtId="0" fontId="0" fillId="0" borderId="54" xfId="0" applyBorder="1" applyProtection="1"/>
    <xf numFmtId="0" fontId="2" fillId="15" borderId="52" xfId="0" applyFont="1" applyFill="1" applyBorder="1" applyProtection="1"/>
    <xf numFmtId="0" fontId="2" fillId="15" borderId="54" xfId="0" applyFont="1" applyFill="1" applyBorder="1" applyAlignment="1" applyProtection="1">
      <alignment horizontal="center" wrapText="1"/>
    </xf>
    <xf numFmtId="166" fontId="2" fillId="12" borderId="54" xfId="1" applyNumberFormat="1" applyFont="1" applyFill="1" applyBorder="1" applyAlignment="1" applyProtection="1">
      <alignment horizontal="right" wrapText="1"/>
    </xf>
    <xf numFmtId="0" fontId="0" fillId="0" borderId="24" xfId="0" applyFont="1" applyBorder="1" applyAlignment="1" applyProtection="1">
      <alignment horizontal="left" indent="2"/>
    </xf>
    <xf numFmtId="43" fontId="0" fillId="0" borderId="24" xfId="1" applyNumberFormat="1" applyFont="1" applyBorder="1" applyProtection="1"/>
    <xf numFmtId="43" fontId="0" fillId="0" borderId="21" xfId="0" applyNumberFormat="1" applyBorder="1" applyProtection="1"/>
    <xf numFmtId="0" fontId="0" fillId="0" borderId="21" xfId="0" applyFont="1" applyBorder="1" applyAlignment="1" applyProtection="1">
      <alignment horizontal="left" indent="2"/>
    </xf>
    <xf numFmtId="43" fontId="0" fillId="0" borderId="21" xfId="1" applyNumberFormat="1" applyFont="1" applyBorder="1" applyProtection="1"/>
    <xf numFmtId="0" fontId="2" fillId="0" borderId="21" xfId="0" applyFont="1" applyBorder="1" applyAlignment="1" applyProtection="1"/>
    <xf numFmtId="0" fontId="2" fillId="0" borderId="21" xfId="0" applyFont="1" applyBorder="1" applyAlignment="1" applyProtection="1">
      <alignment horizontal="center"/>
    </xf>
    <xf numFmtId="0" fontId="2" fillId="0" borderId="21" xfId="0" applyFont="1" applyFill="1" applyBorder="1" applyAlignment="1" applyProtection="1"/>
    <xf numFmtId="0" fontId="0" fillId="0" borderId="21" xfId="0" applyBorder="1" applyAlignment="1" applyProtection="1">
      <alignment wrapText="1"/>
    </xf>
    <xf numFmtId="0" fontId="0" fillId="0" borderId="21" xfId="0" applyFill="1" applyBorder="1" applyAlignment="1" applyProtection="1">
      <alignment wrapText="1"/>
    </xf>
    <xf numFmtId="0" fontId="0" fillId="2" borderId="21" xfId="0" applyFill="1" applyBorder="1" applyAlignment="1" applyProtection="1">
      <alignment wrapText="1"/>
    </xf>
    <xf numFmtId="166" fontId="0" fillId="0" borderId="21" xfId="1" applyNumberFormat="1" applyFont="1" applyBorder="1" applyProtection="1"/>
    <xf numFmtId="166" fontId="0" fillId="2" borderId="21" xfId="1" applyNumberFormat="1" applyFont="1" applyFill="1" applyBorder="1" applyProtection="1"/>
    <xf numFmtId="166" fontId="0" fillId="0" borderId="21" xfId="1" applyNumberFormat="1" applyFont="1" applyFill="1" applyBorder="1" applyProtection="1"/>
    <xf numFmtId="166" fontId="0" fillId="0" borderId="21" xfId="2" applyNumberFormat="1" applyFont="1" applyBorder="1" applyProtection="1"/>
    <xf numFmtId="1" fontId="0" fillId="3" borderId="54" xfId="0" applyNumberFormat="1" applyFill="1" applyBorder="1" applyAlignment="1" applyProtection="1">
      <alignment horizontal="center"/>
      <protection locked="0"/>
    </xf>
    <xf numFmtId="0" fontId="2" fillId="0" borderId="35" xfId="0" applyFont="1" applyBorder="1" applyAlignment="1" applyProtection="1">
      <alignment wrapText="1"/>
    </xf>
    <xf numFmtId="0" fontId="0" fillId="0" borderId="44" xfId="0" applyBorder="1" applyProtection="1"/>
    <xf numFmtId="0" fontId="0" fillId="0" borderId="35" xfId="0" applyBorder="1" applyProtection="1"/>
    <xf numFmtId="0" fontId="0" fillId="12" borderId="35" xfId="0" applyFill="1" applyBorder="1" applyProtection="1"/>
    <xf numFmtId="0" fontId="0" fillId="0" borderId="45" xfId="0" applyFill="1" applyBorder="1" applyProtection="1"/>
    <xf numFmtId="0" fontId="0" fillId="0" borderId="46" xfId="0" applyBorder="1" applyProtection="1"/>
    <xf numFmtId="0" fontId="0" fillId="0" borderId="113" xfId="0" applyBorder="1" applyProtection="1"/>
    <xf numFmtId="168" fontId="0" fillId="12" borderId="113" xfId="0" applyNumberFormat="1" applyFill="1" applyBorder="1" applyProtection="1"/>
    <xf numFmtId="168" fontId="0" fillId="0" borderId="47" xfId="0" applyNumberFormat="1" applyFill="1" applyBorder="1" applyProtection="1"/>
    <xf numFmtId="0" fontId="0" fillId="0" borderId="48" xfId="0" applyBorder="1" applyProtection="1"/>
    <xf numFmtId="0" fontId="2" fillId="0" borderId="3" xfId="0" applyFont="1" applyBorder="1" applyAlignment="1" applyProtection="1">
      <alignment wrapText="1"/>
    </xf>
    <xf numFmtId="166" fontId="0" fillId="14" borderId="75" xfId="1" applyNumberFormat="1" applyFont="1" applyFill="1" applyBorder="1" applyAlignment="1" applyProtection="1">
      <alignment horizontal="right"/>
    </xf>
    <xf numFmtId="171" fontId="0" fillId="12" borderId="75" xfId="2" applyNumberFormat="1" applyFont="1" applyFill="1" applyBorder="1" applyAlignment="1" applyProtection="1">
      <alignment horizontal="right"/>
    </xf>
    <xf numFmtId="166" fontId="0" fillId="12" borderId="3" xfId="0" applyNumberFormat="1" applyFill="1" applyBorder="1" applyProtection="1"/>
    <xf numFmtId="164" fontId="0" fillId="12" borderId="3" xfId="1" applyNumberFormat="1" applyFont="1" applyFill="1" applyBorder="1" applyProtection="1"/>
    <xf numFmtId="164" fontId="0" fillId="12" borderId="91" xfId="1" applyNumberFormat="1" applyFont="1" applyFill="1" applyBorder="1" applyProtection="1"/>
    <xf numFmtId="166" fontId="0" fillId="5" borderId="3" xfId="1" applyNumberFormat="1" applyFont="1" applyFill="1" applyBorder="1" applyAlignment="1" applyProtection="1">
      <alignment horizontal="right"/>
      <protection locked="0"/>
    </xf>
    <xf numFmtId="0" fontId="0" fillId="5" borderId="35" xfId="0" applyFill="1" applyBorder="1" applyAlignment="1" applyProtection="1">
      <alignment horizontal="right"/>
      <protection locked="0"/>
    </xf>
    <xf numFmtId="0" fontId="0" fillId="5" borderId="113" xfId="0" applyFill="1" applyBorder="1" applyAlignment="1" applyProtection="1">
      <alignment horizontal="right"/>
      <protection locked="0"/>
    </xf>
    <xf numFmtId="0" fontId="0" fillId="14" borderId="140" xfId="0" applyFill="1" applyBorder="1" applyAlignment="1" applyProtection="1">
      <alignment horizontal="left" wrapText="1"/>
    </xf>
    <xf numFmtId="0" fontId="0" fillId="14" borderId="64" xfId="0" applyFill="1" applyBorder="1" applyAlignment="1" applyProtection="1">
      <alignment horizontal="left" wrapText="1"/>
    </xf>
    <xf numFmtId="0" fontId="0" fillId="14" borderId="48" xfId="0" applyFill="1" applyBorder="1" applyAlignment="1" applyProtection="1">
      <alignment horizontal="left" wrapText="1"/>
    </xf>
    <xf numFmtId="0" fontId="2" fillId="0" borderId="53" xfId="0" applyFont="1" applyBorder="1" applyAlignment="1" applyProtection="1">
      <alignment wrapText="1"/>
    </xf>
    <xf numFmtId="166" fontId="0" fillId="12" borderId="53" xfId="1" applyNumberFormat="1" applyFont="1" applyFill="1" applyBorder="1" applyProtection="1"/>
    <xf numFmtId="9" fontId="0" fillId="12" borderId="53" xfId="2" applyFont="1" applyFill="1" applyBorder="1" applyAlignment="1" applyProtection="1">
      <alignment horizontal="right"/>
    </xf>
    <xf numFmtId="171" fontId="0" fillId="12" borderId="53" xfId="2" applyNumberFormat="1" applyFont="1" applyFill="1" applyBorder="1" applyAlignment="1" applyProtection="1">
      <alignment horizontal="right"/>
    </xf>
    <xf numFmtId="43" fontId="0" fillId="12" borderId="53" xfId="1" applyNumberFormat="1" applyFont="1" applyFill="1" applyBorder="1" applyProtection="1"/>
    <xf numFmtId="0" fontId="4" fillId="0" borderId="54" xfId="4" applyFont="1" applyBorder="1" applyProtection="1"/>
    <xf numFmtId="9" fontId="0" fillId="12" borderId="53" xfId="2" applyNumberFormat="1" applyFont="1" applyFill="1" applyBorder="1" applyAlignment="1" applyProtection="1">
      <alignment horizontal="right"/>
    </xf>
    <xf numFmtId="0" fontId="0" fillId="0" borderId="53" xfId="0" applyFill="1" applyBorder="1" applyProtection="1"/>
    <xf numFmtId="0" fontId="0" fillId="0" borderId="53" xfId="0" applyBorder="1" applyProtection="1"/>
    <xf numFmtId="0" fontId="0" fillId="0" borderId="55" xfId="0" applyBorder="1" applyAlignment="1" applyProtection="1">
      <alignment horizontal="left" vertical="top"/>
    </xf>
    <xf numFmtId="0" fontId="0" fillId="0" borderId="56" xfId="0" applyBorder="1" applyProtection="1"/>
    <xf numFmtId="171" fontId="0" fillId="12" borderId="56" xfId="0" applyNumberFormat="1" applyFill="1" applyBorder="1" applyProtection="1"/>
    <xf numFmtId="0" fontId="0" fillId="0" borderId="57" xfId="0" applyBorder="1" applyProtection="1"/>
    <xf numFmtId="0" fontId="2" fillId="2" borderId="21" xfId="0" applyFont="1" applyFill="1" applyBorder="1" applyAlignment="1" applyProtection="1">
      <alignment wrapText="1"/>
    </xf>
    <xf numFmtId="166" fontId="0" fillId="5" borderId="53" xfId="1" applyNumberFormat="1" applyFont="1" applyFill="1" applyBorder="1" applyAlignment="1" applyProtection="1">
      <alignment horizontal="right"/>
      <protection locked="0"/>
    </xf>
    <xf numFmtId="9" fontId="0" fillId="5" borderId="53" xfId="2" applyFont="1" applyFill="1" applyBorder="1" applyAlignment="1" applyProtection="1">
      <alignment horizontal="right"/>
      <protection locked="0"/>
    </xf>
    <xf numFmtId="9" fontId="0" fillId="5" borderId="53" xfId="2" applyNumberFormat="1" applyFont="1" applyFill="1" applyBorder="1" applyAlignment="1" applyProtection="1">
      <alignment horizontal="right"/>
      <protection locked="0"/>
    </xf>
    <xf numFmtId="0" fontId="0" fillId="5" borderId="53" xfId="4" applyFont="1" applyFill="1" applyBorder="1" applyAlignment="1" applyProtection="1">
      <alignment horizontal="right"/>
      <protection locked="0"/>
    </xf>
    <xf numFmtId="0" fontId="0" fillId="5" borderId="53" xfId="0" applyFont="1" applyFill="1" applyBorder="1" applyAlignment="1" applyProtection="1">
      <alignment horizontal="right" vertical="top"/>
      <protection locked="0"/>
    </xf>
    <xf numFmtId="0" fontId="0" fillId="5" borderId="53" xfId="0" applyFont="1" applyFill="1" applyBorder="1" applyAlignment="1" applyProtection="1">
      <alignment horizontal="right"/>
      <protection locked="0"/>
    </xf>
    <xf numFmtId="164" fontId="0" fillId="5" borderId="53" xfId="4" applyNumberFormat="1" applyFont="1" applyFill="1" applyBorder="1" applyProtection="1">
      <protection locked="0"/>
    </xf>
    <xf numFmtId="9" fontId="0" fillId="12" borderId="53" xfId="2" applyFont="1" applyFill="1" applyBorder="1" applyProtection="1"/>
    <xf numFmtId="9" fontId="0" fillId="12" borderId="56" xfId="2" applyFont="1" applyFill="1" applyBorder="1" applyProtection="1"/>
    <xf numFmtId="0" fontId="0" fillId="0" borderId="0" xfId="0" quotePrefix="1" applyAlignment="1">
      <alignment wrapText="1"/>
    </xf>
    <xf numFmtId="0" fontId="0" fillId="0" borderId="0" xfId="0" applyAlignment="1">
      <alignment horizontal="left" wrapText="1" indent="2"/>
    </xf>
    <xf numFmtId="174" fontId="0" fillId="3" borderId="158" xfId="5" applyNumberFormat="1" applyFont="1" applyFill="1" applyBorder="1" applyProtection="1">
      <protection locked="0"/>
    </xf>
    <xf numFmtId="0" fontId="2" fillId="0" borderId="163" xfId="0" applyFont="1" applyBorder="1"/>
    <xf numFmtId="0" fontId="0" fillId="4" borderId="158" xfId="0" applyFill="1" applyBorder="1" applyProtection="1">
      <protection locked="0"/>
    </xf>
    <xf numFmtId="0" fontId="2" fillId="0" borderId="164" xfId="0" applyFont="1" applyBorder="1"/>
    <xf numFmtId="0" fontId="0" fillId="18" borderId="160" xfId="0" applyFill="1" applyBorder="1"/>
    <xf numFmtId="166" fontId="0" fillId="0" borderId="21" xfId="0" applyNumberFormat="1" applyBorder="1"/>
    <xf numFmtId="2" fontId="0" fillId="0" borderId="0" xfId="0" applyNumberFormat="1"/>
    <xf numFmtId="17" fontId="2" fillId="0" borderId="0" xfId="0" applyNumberFormat="1" applyFont="1" applyAlignment="1">
      <alignment wrapText="1"/>
    </xf>
    <xf numFmtId="43" fontId="0" fillId="0" borderId="0" xfId="0" applyNumberFormat="1"/>
    <xf numFmtId="0" fontId="2" fillId="15" borderId="80" xfId="0" applyFont="1" applyFill="1" applyBorder="1" applyProtection="1"/>
    <xf numFmtId="0" fontId="0" fillId="15" borderId="3" xfId="0" applyFill="1" applyBorder="1" applyProtection="1"/>
    <xf numFmtId="0" fontId="2" fillId="15" borderId="89" xfId="0" applyFont="1" applyFill="1" applyBorder="1" applyAlignment="1" applyProtection="1">
      <alignment wrapText="1"/>
    </xf>
    <xf numFmtId="0" fontId="2" fillId="15" borderId="81" xfId="0" applyFont="1" applyFill="1" applyBorder="1" applyAlignment="1" applyProtection="1">
      <alignment wrapText="1"/>
    </xf>
    <xf numFmtId="2" fontId="0" fillId="12" borderId="3" xfId="0" applyNumberFormat="1" applyFill="1" applyBorder="1" applyProtection="1"/>
    <xf numFmtId="164" fontId="0" fillId="12" borderId="75" xfId="1" applyNumberFormat="1" applyFont="1" applyFill="1" applyBorder="1" applyProtection="1"/>
    <xf numFmtId="0" fontId="0" fillId="15" borderId="75" xfId="0" applyFill="1" applyBorder="1" applyProtection="1"/>
    <xf numFmtId="0" fontId="6" fillId="0" borderId="21" xfId="0" applyFont="1" applyBorder="1" applyAlignment="1">
      <alignment horizontal="center"/>
    </xf>
    <xf numFmtId="166" fontId="0" fillId="0" borderId="53" xfId="1" applyNumberFormat="1" applyFont="1" applyFill="1" applyBorder="1" applyAlignment="1">
      <alignment horizontal="center"/>
    </xf>
    <xf numFmtId="0" fontId="2" fillId="15" borderId="161" xfId="0" applyFont="1" applyFill="1" applyBorder="1" applyAlignment="1">
      <alignment horizontal="center"/>
    </xf>
    <xf numFmtId="0" fontId="2" fillId="15" borderId="162" xfId="0" applyFont="1" applyFill="1" applyBorder="1" applyAlignment="1">
      <alignment horizontal="center"/>
    </xf>
    <xf numFmtId="0" fontId="2" fillId="15" borderId="50" xfId="0" applyFont="1" applyFill="1" applyBorder="1" applyAlignment="1">
      <alignment horizontal="center"/>
    </xf>
    <xf numFmtId="0" fontId="2" fillId="15" borderId="51" xfId="0" applyFont="1" applyFill="1" applyBorder="1" applyAlignment="1">
      <alignment horizontal="center"/>
    </xf>
    <xf numFmtId="0" fontId="2" fillId="15" borderId="58" xfId="0" applyFont="1" applyFill="1" applyBorder="1" applyAlignment="1">
      <alignment horizontal="left" vertical="center" wrapText="1"/>
    </xf>
    <xf numFmtId="0" fontId="2" fillId="15" borderId="60" xfId="0" applyFont="1" applyFill="1" applyBorder="1" applyAlignment="1">
      <alignment horizontal="left" vertical="center" wrapText="1"/>
    </xf>
    <xf numFmtId="0" fontId="2" fillId="15" borderId="62" xfId="0" applyFont="1" applyFill="1" applyBorder="1" applyAlignment="1">
      <alignment horizontal="left" vertical="center" wrapText="1"/>
    </xf>
    <xf numFmtId="9" fontId="22" fillId="12" borderId="59" xfId="2" applyFont="1" applyFill="1" applyBorder="1" applyAlignment="1">
      <alignment horizontal="center" vertical="center"/>
    </xf>
    <xf numFmtId="9" fontId="22" fillId="12" borderId="61" xfId="2" applyFont="1" applyFill="1" applyBorder="1" applyAlignment="1">
      <alignment horizontal="center" vertical="center"/>
    </xf>
    <xf numFmtId="9" fontId="22" fillId="12" borderId="63" xfId="2" applyFont="1" applyFill="1" applyBorder="1" applyAlignment="1">
      <alignment horizontal="center" vertical="center"/>
    </xf>
    <xf numFmtId="0" fontId="2" fillId="2" borderId="79" xfId="0" applyFont="1" applyFill="1" applyBorder="1" applyAlignment="1">
      <alignment horizontal="center"/>
    </xf>
    <xf numFmtId="0" fontId="2" fillId="2" borderId="89" xfId="0" applyFont="1" applyFill="1" applyBorder="1" applyAlignment="1">
      <alignment horizontal="center"/>
    </xf>
    <xf numFmtId="0" fontId="2" fillId="2" borderId="81" xfId="0" applyFont="1" applyFill="1" applyBorder="1" applyAlignment="1">
      <alignment horizontal="center"/>
    </xf>
    <xf numFmtId="0" fontId="2" fillId="2" borderId="3" xfId="0" applyFont="1" applyFill="1" applyBorder="1" applyAlignment="1">
      <alignment horizontal="center"/>
    </xf>
    <xf numFmtId="0" fontId="2" fillId="3" borderId="3" xfId="0" applyFont="1" applyFill="1" applyBorder="1" applyAlignment="1">
      <alignment horizontal="center"/>
    </xf>
    <xf numFmtId="0" fontId="2" fillId="3" borderId="2" xfId="0" applyFont="1" applyFill="1" applyBorder="1" applyAlignment="1">
      <alignment horizontal="center"/>
    </xf>
    <xf numFmtId="0" fontId="6" fillId="0" borderId="32" xfId="0" applyFont="1" applyBorder="1" applyAlignment="1" applyProtection="1">
      <alignment horizontal="center"/>
    </xf>
    <xf numFmtId="0" fontId="6" fillId="0" borderId="26" xfId="0" applyFont="1" applyBorder="1" applyAlignment="1" applyProtection="1">
      <alignment horizontal="center"/>
    </xf>
    <xf numFmtId="0" fontId="6" fillId="0" borderId="25" xfId="0" applyFont="1" applyBorder="1" applyAlignment="1" applyProtection="1">
      <alignment horizontal="center"/>
    </xf>
    <xf numFmtId="0" fontId="23" fillId="0" borderId="128" xfId="3" applyFont="1" applyFill="1" applyBorder="1" applyAlignment="1" applyProtection="1">
      <alignment horizontal="center" vertical="center"/>
    </xf>
    <xf numFmtId="0" fontId="23" fillId="0" borderId="64" xfId="3" applyFont="1" applyFill="1" applyBorder="1" applyAlignment="1" applyProtection="1">
      <alignment horizontal="center" vertical="center"/>
    </xf>
    <xf numFmtId="0" fontId="2" fillId="16" borderId="44" xfId="0" applyFont="1" applyFill="1" applyBorder="1" applyAlignment="1" applyProtection="1">
      <alignment horizontal="left"/>
    </xf>
    <xf numFmtId="0" fontId="2" fillId="16" borderId="45" xfId="0" applyFont="1" applyFill="1" applyBorder="1" applyAlignment="1" applyProtection="1">
      <alignment horizontal="left"/>
    </xf>
    <xf numFmtId="0" fontId="0" fillId="16" borderId="44" xfId="0" applyFill="1" applyBorder="1" applyAlignment="1" applyProtection="1">
      <alignment horizontal="left"/>
    </xf>
    <xf numFmtId="0" fontId="0" fillId="16" borderId="45" xfId="0" applyFill="1" applyBorder="1" applyAlignment="1" applyProtection="1">
      <alignment horizontal="left"/>
    </xf>
    <xf numFmtId="0" fontId="25" fillId="14" borderId="64" xfId="3" applyFont="1" applyFill="1" applyBorder="1" applyAlignment="1" applyProtection="1">
      <alignment horizontal="left" vertical="center" wrapText="1"/>
    </xf>
    <xf numFmtId="0" fontId="25" fillId="14" borderId="48" xfId="3" applyFont="1" applyFill="1" applyBorder="1" applyAlignment="1" applyProtection="1">
      <alignment horizontal="left" vertical="center" wrapText="1"/>
    </xf>
    <xf numFmtId="0" fontId="0" fillId="0" borderId="142" xfId="0" applyBorder="1" applyAlignment="1" applyProtection="1">
      <alignment horizontal="left" vertical="center" wrapText="1"/>
    </xf>
    <xf numFmtId="0" fontId="0" fillId="0" borderId="64"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119" xfId="0" applyBorder="1" applyAlignment="1" applyProtection="1">
      <alignment horizontal="left" vertical="center" wrapText="1"/>
    </xf>
    <xf numFmtId="0" fontId="0" fillId="0" borderId="0" xfId="0" applyAlignment="1" applyProtection="1">
      <alignment horizontal="left" vertical="center" wrapText="1"/>
    </xf>
    <xf numFmtId="0" fontId="0" fillId="0" borderId="141" xfId="0" applyBorder="1" applyAlignment="1" applyProtection="1">
      <alignment horizontal="left" vertical="center" wrapText="1"/>
    </xf>
    <xf numFmtId="0" fontId="0" fillId="0" borderId="143" xfId="0" applyBorder="1" applyAlignment="1" applyProtection="1">
      <alignment horizontal="left" vertical="center" wrapText="1"/>
    </xf>
    <xf numFmtId="0" fontId="0" fillId="0" borderId="144" xfId="0" applyBorder="1" applyAlignment="1" applyProtection="1">
      <alignment horizontal="left" vertical="center" wrapText="1"/>
    </xf>
    <xf numFmtId="0" fontId="0" fillId="0" borderId="65" xfId="0" applyBorder="1" applyAlignment="1" applyProtection="1">
      <alignment horizontal="left" vertical="center" wrapText="1"/>
    </xf>
    <xf numFmtId="0" fontId="2" fillId="2" borderId="131" xfId="0" applyFont="1" applyFill="1" applyBorder="1" applyAlignment="1" applyProtection="1">
      <alignment horizontal="center"/>
    </xf>
    <xf numFmtId="0" fontId="2" fillId="2" borderId="35" xfId="0" applyFont="1" applyFill="1" applyBorder="1" applyAlignment="1" applyProtection="1">
      <alignment horizontal="center"/>
    </xf>
    <xf numFmtId="0" fontId="2" fillId="2" borderId="132" xfId="0" applyFont="1" applyFill="1" applyBorder="1" applyAlignment="1" applyProtection="1">
      <alignment horizontal="center"/>
    </xf>
    <xf numFmtId="0" fontId="2" fillId="3" borderId="135" xfId="0" applyFont="1" applyFill="1" applyBorder="1" applyAlignment="1" applyProtection="1">
      <alignment horizontal="center"/>
    </xf>
    <xf numFmtId="0" fontId="2" fillId="3" borderId="136" xfId="0" applyFont="1" applyFill="1" applyBorder="1" applyAlignment="1" applyProtection="1">
      <alignment horizontal="center"/>
    </xf>
    <xf numFmtId="0" fontId="2" fillId="3" borderId="137" xfId="0" applyFont="1" applyFill="1" applyBorder="1" applyAlignment="1" applyProtection="1">
      <alignment horizontal="center"/>
    </xf>
    <xf numFmtId="0" fontId="6" fillId="0" borderId="21" xfId="0" applyFont="1" applyBorder="1" applyAlignment="1" applyProtection="1">
      <alignment horizontal="center"/>
    </xf>
    <xf numFmtId="0" fontId="23" fillId="0" borderId="22" xfId="3" applyFont="1" applyFill="1" applyBorder="1" applyAlignment="1" applyProtection="1">
      <alignment horizontal="center" vertical="center"/>
    </xf>
    <xf numFmtId="0" fontId="2" fillId="0" borderId="80" xfId="0" applyFont="1" applyFill="1" applyBorder="1" applyAlignment="1" applyProtection="1">
      <alignment horizontal="center"/>
    </xf>
    <xf numFmtId="0" fontId="2" fillId="0" borderId="75" xfId="0" applyFont="1" applyFill="1" applyBorder="1" applyAlignment="1" applyProtection="1">
      <alignment horizontal="center"/>
    </xf>
    <xf numFmtId="0" fontId="2" fillId="3" borderId="131" xfId="0" applyFont="1" applyFill="1" applyBorder="1" applyAlignment="1" applyProtection="1">
      <alignment horizontal="center"/>
    </xf>
    <xf numFmtId="0" fontId="2" fillId="3" borderId="35" xfId="0" applyFont="1" applyFill="1" applyBorder="1" applyAlignment="1" applyProtection="1">
      <alignment horizontal="center"/>
    </xf>
    <xf numFmtId="0" fontId="2" fillId="3" borderId="132" xfId="0" applyFont="1" applyFill="1" applyBorder="1" applyAlignment="1" applyProtection="1">
      <alignment horizontal="center"/>
    </xf>
    <xf numFmtId="0" fontId="2" fillId="2" borderId="134" xfId="0" applyFont="1" applyFill="1" applyBorder="1" applyAlignment="1" applyProtection="1">
      <alignment horizontal="center"/>
    </xf>
    <xf numFmtId="0" fontId="2" fillId="2" borderId="3" xfId="0" applyFont="1" applyFill="1" applyBorder="1" applyAlignment="1" applyProtection="1">
      <alignment horizontal="center"/>
    </xf>
    <xf numFmtId="0" fontId="2" fillId="3" borderId="3" xfId="0" applyFont="1" applyFill="1" applyBorder="1" applyAlignment="1" applyProtection="1">
      <alignment horizontal="center"/>
    </xf>
    <xf numFmtId="0" fontId="2" fillId="3" borderId="133" xfId="0" applyFont="1" applyFill="1" applyBorder="1" applyAlignment="1" applyProtection="1">
      <alignment horizontal="center"/>
    </xf>
    <xf numFmtId="0" fontId="25" fillId="14" borderId="138" xfId="3" applyFont="1" applyFill="1" applyBorder="1" applyAlignment="1" applyProtection="1">
      <alignment horizontal="left" vertical="center" wrapText="1"/>
    </xf>
    <xf numFmtId="0" fontId="25" fillId="14" borderId="0" xfId="3" applyFont="1" applyFill="1" applyBorder="1" applyAlignment="1" applyProtection="1">
      <alignment horizontal="left" vertical="center" wrapText="1"/>
    </xf>
    <xf numFmtId="0" fontId="2" fillId="0" borderId="79" xfId="0" applyFont="1" applyFill="1" applyBorder="1" applyAlignment="1" applyProtection="1">
      <alignment horizontal="left"/>
    </xf>
    <xf numFmtId="0" fontId="2" fillId="0" borderId="81" xfId="0" applyFont="1" applyFill="1" applyBorder="1" applyAlignment="1" applyProtection="1">
      <alignment horizontal="left"/>
    </xf>
    <xf numFmtId="0" fontId="2" fillId="15" borderId="134" xfId="0" applyFont="1" applyFill="1" applyBorder="1" applyAlignment="1" applyProtection="1">
      <alignment horizontal="center"/>
    </xf>
    <xf numFmtId="0" fontId="2" fillId="15" borderId="3" xfId="0" applyFont="1" applyFill="1" applyBorder="1" applyAlignment="1" applyProtection="1">
      <alignment horizontal="center"/>
    </xf>
    <xf numFmtId="0" fontId="2" fillId="4" borderId="3" xfId="0" applyFont="1" applyFill="1" applyBorder="1" applyAlignment="1" applyProtection="1">
      <alignment horizontal="center"/>
    </xf>
    <xf numFmtId="0" fontId="2" fillId="4" borderId="133" xfId="0" applyFont="1" applyFill="1" applyBorder="1" applyAlignment="1" applyProtection="1">
      <alignment horizontal="center"/>
    </xf>
    <xf numFmtId="0" fontId="25" fillId="14" borderId="32" xfId="3" applyFont="1" applyFill="1" applyBorder="1" applyAlignment="1" applyProtection="1">
      <alignment horizontal="left" vertical="center" wrapText="1"/>
    </xf>
    <xf numFmtId="0" fontId="25" fillId="14" borderId="25" xfId="3" applyFont="1" applyFill="1" applyBorder="1" applyAlignment="1" applyProtection="1">
      <alignment horizontal="left" vertical="center" wrapText="1"/>
    </xf>
    <xf numFmtId="0" fontId="25" fillId="0" borderId="142" xfId="0" applyFont="1" applyBorder="1" applyAlignment="1" applyProtection="1">
      <alignment horizontal="left" vertical="center" wrapText="1"/>
    </xf>
    <xf numFmtId="0" fontId="25" fillId="0" borderId="48" xfId="0" applyFont="1" applyBorder="1" applyAlignment="1" applyProtection="1">
      <alignment horizontal="left" vertical="center" wrapText="1"/>
    </xf>
    <xf numFmtId="0" fontId="25" fillId="0" borderId="119" xfId="0" applyFont="1" applyBorder="1" applyAlignment="1" applyProtection="1">
      <alignment horizontal="left" vertical="center" wrapText="1"/>
    </xf>
    <xf numFmtId="0" fontId="25" fillId="0" borderId="141" xfId="0" applyFont="1" applyBorder="1" applyAlignment="1" applyProtection="1">
      <alignment horizontal="left" vertical="center" wrapText="1"/>
    </xf>
    <xf numFmtId="0" fontId="25" fillId="0" borderId="143" xfId="0" applyFont="1" applyBorder="1" applyAlignment="1" applyProtection="1">
      <alignment horizontal="left" vertical="center" wrapText="1"/>
    </xf>
    <xf numFmtId="0" fontId="25" fillId="0" borderId="65" xfId="0" applyFont="1" applyBorder="1" applyAlignment="1" applyProtection="1">
      <alignment horizontal="left" vertical="center" wrapText="1"/>
    </xf>
    <xf numFmtId="0" fontId="2" fillId="0" borderId="120" xfId="0" applyFont="1" applyFill="1" applyBorder="1" applyAlignment="1" applyProtection="1">
      <alignment horizontal="center"/>
    </xf>
    <xf numFmtId="0" fontId="2" fillId="0" borderId="121" xfId="0" applyFont="1" applyFill="1" applyBorder="1" applyAlignment="1" applyProtection="1">
      <alignment horizontal="center"/>
    </xf>
    <xf numFmtId="0" fontId="2" fillId="0" borderId="44" xfId="0" applyFont="1" applyFill="1" applyBorder="1" applyAlignment="1" applyProtection="1">
      <alignment horizontal="center"/>
    </xf>
    <xf numFmtId="0" fontId="2" fillId="0" borderId="45" xfId="0" applyFont="1" applyFill="1" applyBorder="1" applyAlignment="1" applyProtection="1">
      <alignment horizontal="center"/>
    </xf>
    <xf numFmtId="0" fontId="25" fillId="14" borderId="0" xfId="3" applyFont="1" applyFill="1" applyBorder="1" applyAlignment="1" applyProtection="1">
      <alignment horizontal="left" vertical="center"/>
    </xf>
    <xf numFmtId="0" fontId="25" fillId="14" borderId="141" xfId="3" applyFont="1" applyFill="1" applyBorder="1" applyAlignment="1" applyProtection="1">
      <alignment horizontal="left" vertical="center"/>
    </xf>
    <xf numFmtId="0" fontId="2" fillId="2" borderId="79" xfId="0" applyFont="1" applyFill="1" applyBorder="1" applyAlignment="1" applyProtection="1">
      <alignment horizontal="left"/>
    </xf>
    <xf numFmtId="0" fontId="2" fillId="2" borderId="89" xfId="0" applyFont="1" applyFill="1" applyBorder="1" applyAlignment="1" applyProtection="1">
      <alignment horizontal="left"/>
    </xf>
    <xf numFmtId="0" fontId="2" fillId="2" borderId="81" xfId="0" applyFont="1" applyFill="1" applyBorder="1" applyAlignment="1" applyProtection="1">
      <alignment horizontal="left"/>
    </xf>
    <xf numFmtId="0" fontId="0" fillId="2" borderId="80" xfId="0" applyFill="1" applyBorder="1" applyAlignment="1" applyProtection="1">
      <alignment horizontal="left"/>
    </xf>
    <xf numFmtId="0" fontId="0" fillId="2" borderId="4" xfId="0" applyFill="1" applyBorder="1" applyAlignment="1" applyProtection="1">
      <alignment horizontal="left"/>
    </xf>
    <xf numFmtId="0" fontId="2" fillId="17" borderId="131" xfId="0" applyFont="1" applyFill="1" applyBorder="1" applyAlignment="1" applyProtection="1">
      <alignment horizontal="center"/>
    </xf>
    <xf numFmtId="0" fontId="2" fillId="17" borderId="35" xfId="0" applyFont="1" applyFill="1" applyBorder="1" applyAlignment="1" applyProtection="1">
      <alignment horizontal="center"/>
    </xf>
    <xf numFmtId="0" fontId="2" fillId="17" borderId="132" xfId="0" applyFont="1" applyFill="1" applyBorder="1" applyAlignment="1" applyProtection="1">
      <alignment horizontal="center"/>
    </xf>
    <xf numFmtId="0" fontId="2" fillId="2" borderId="32"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25" xfId="0" applyFont="1" applyFill="1" applyBorder="1" applyAlignment="1" applyProtection="1">
      <alignment horizontal="center"/>
    </xf>
    <xf numFmtId="0" fontId="2" fillId="15" borderId="79" xfId="0" applyFont="1" applyFill="1" applyBorder="1" applyAlignment="1" applyProtection="1">
      <alignment horizontal="center"/>
    </xf>
    <xf numFmtId="0" fontId="2" fillId="15" borderId="89" xfId="0" applyFont="1" applyFill="1" applyBorder="1" applyAlignment="1" applyProtection="1">
      <alignment horizontal="center"/>
    </xf>
    <xf numFmtId="0" fontId="2" fillId="15" borderId="81" xfId="0" applyFont="1" applyFill="1" applyBorder="1" applyAlignment="1" applyProtection="1">
      <alignment horizontal="center"/>
    </xf>
    <xf numFmtId="0" fontId="23" fillId="0" borderId="48" xfId="3" applyFont="1" applyFill="1" applyBorder="1" applyAlignment="1" applyProtection="1">
      <alignment horizontal="center" vertical="center"/>
    </xf>
    <xf numFmtId="0" fontId="2" fillId="15" borderId="42" xfId="0" applyFont="1" applyFill="1" applyBorder="1" applyAlignment="1" applyProtection="1">
      <alignment horizontal="center"/>
    </xf>
    <xf numFmtId="0" fontId="2" fillId="15" borderId="112" xfId="0" applyFont="1" applyFill="1" applyBorder="1" applyAlignment="1" applyProtection="1">
      <alignment horizontal="center"/>
    </xf>
    <xf numFmtId="0" fontId="2" fillId="15" borderId="43" xfId="0" applyFont="1" applyFill="1" applyBorder="1" applyAlignment="1" applyProtection="1">
      <alignment horizontal="center"/>
    </xf>
    <xf numFmtId="0" fontId="2" fillId="0" borderId="35" xfId="0" applyFont="1" applyBorder="1" applyAlignment="1" applyProtection="1">
      <alignment horizontal="center"/>
    </xf>
    <xf numFmtId="0" fontId="2" fillId="0" borderId="123" xfId="0" applyFont="1" applyBorder="1" applyAlignment="1" applyProtection="1">
      <alignment horizontal="center"/>
    </xf>
    <xf numFmtId="0" fontId="2" fillId="0" borderId="31" xfId="0" applyFont="1" applyBorder="1" applyAlignment="1" applyProtection="1">
      <alignment horizontal="center"/>
    </xf>
    <xf numFmtId="0" fontId="2" fillId="0" borderId="124" xfId="0" applyFont="1" applyBorder="1" applyAlignment="1" applyProtection="1">
      <alignment horizontal="center"/>
    </xf>
    <xf numFmtId="0" fontId="2" fillId="0" borderId="125" xfId="0" applyFont="1" applyBorder="1" applyAlignment="1" applyProtection="1">
      <alignment horizontal="center"/>
    </xf>
    <xf numFmtId="0" fontId="2" fillId="0" borderId="126" xfId="0" applyFont="1" applyBorder="1" applyAlignment="1" applyProtection="1">
      <alignment horizontal="center"/>
    </xf>
    <xf numFmtId="0" fontId="2" fillId="0" borderId="127" xfId="0" applyFont="1" applyBorder="1" applyAlignment="1" applyProtection="1">
      <alignment horizontal="center"/>
    </xf>
    <xf numFmtId="0" fontId="25" fillId="14" borderId="145" xfId="3" applyFont="1" applyFill="1" applyBorder="1" applyAlignment="1" applyProtection="1">
      <alignment horizontal="left" vertical="center" wrapText="1"/>
    </xf>
    <xf numFmtId="171" fontId="0" fillId="14" borderId="8" xfId="2" applyNumberFormat="1" applyFont="1" applyFill="1" applyBorder="1" applyAlignment="1" applyProtection="1">
      <alignment horizontal="left" vertical="center"/>
    </xf>
    <xf numFmtId="171" fontId="0" fillId="14" borderId="147" xfId="2" applyNumberFormat="1" applyFont="1" applyFill="1" applyBorder="1" applyAlignment="1" applyProtection="1">
      <alignment horizontal="left" vertical="center"/>
    </xf>
    <xf numFmtId="171" fontId="0" fillId="14" borderId="0" xfId="2" applyNumberFormat="1" applyFont="1" applyFill="1" applyBorder="1" applyAlignment="1" applyProtection="1">
      <alignment horizontal="left" vertical="center"/>
    </xf>
    <xf numFmtId="171" fontId="0" fillId="14" borderId="148" xfId="2" applyNumberFormat="1" applyFont="1" applyFill="1" applyBorder="1" applyAlignment="1" applyProtection="1">
      <alignment horizontal="left" vertical="center"/>
    </xf>
    <xf numFmtId="171" fontId="0" fillId="14" borderId="18" xfId="2" applyNumberFormat="1" applyFont="1" applyFill="1" applyBorder="1" applyAlignment="1" applyProtection="1">
      <alignment horizontal="left" vertical="center"/>
    </xf>
    <xf numFmtId="171" fontId="0" fillId="14" borderId="149" xfId="2" applyNumberFormat="1" applyFont="1" applyFill="1" applyBorder="1" applyAlignment="1" applyProtection="1">
      <alignment horizontal="left" vertical="center"/>
    </xf>
    <xf numFmtId="0" fontId="2" fillId="0" borderId="150" xfId="0" applyFont="1" applyBorder="1" applyAlignment="1" applyProtection="1">
      <alignment horizontal="center"/>
    </xf>
    <xf numFmtId="0" fontId="2" fillId="0" borderId="8" xfId="0" applyFont="1" applyBorder="1" applyAlignment="1" applyProtection="1">
      <alignment horizontal="center"/>
    </xf>
    <xf numFmtId="0" fontId="2" fillId="0" borderId="151" xfId="0" applyFont="1" applyBorder="1" applyAlignment="1" applyProtection="1">
      <alignment horizontal="center"/>
    </xf>
    <xf numFmtId="0" fontId="2" fillId="0" borderId="12" xfId="0" applyFont="1" applyBorder="1" applyAlignment="1" applyProtection="1">
      <alignment horizontal="center"/>
    </xf>
    <xf numFmtId="0" fontId="2" fillId="0" borderId="147" xfId="0" applyFont="1" applyBorder="1" applyAlignment="1" applyProtection="1">
      <alignment horizontal="center" wrapText="1"/>
    </xf>
    <xf numFmtId="0" fontId="2" fillId="0" borderId="93" xfId="0" applyFont="1" applyBorder="1" applyAlignment="1" applyProtection="1">
      <alignment horizontal="center" wrapText="1"/>
    </xf>
    <xf numFmtId="0" fontId="0" fillId="0" borderId="80" xfId="0" applyBorder="1" applyAlignment="1" applyProtection="1">
      <alignment horizontal="left"/>
    </xf>
    <xf numFmtId="0" fontId="0" fillId="0" borderId="3" xfId="0" applyBorder="1" applyAlignment="1" applyProtection="1">
      <alignment horizontal="left"/>
    </xf>
    <xf numFmtId="0" fontId="0" fillId="0" borderId="80" xfId="0" applyBorder="1" applyAlignment="1" applyProtection="1">
      <alignment horizontal="left" wrapText="1"/>
    </xf>
    <xf numFmtId="0" fontId="0" fillId="0" borderId="3" xfId="0" applyBorder="1" applyAlignment="1" applyProtection="1">
      <alignment horizontal="left" wrapText="1"/>
    </xf>
    <xf numFmtId="0" fontId="0" fillId="0" borderId="90" xfId="0" applyBorder="1" applyAlignment="1" applyProtection="1">
      <alignment horizontal="left" wrapText="1"/>
    </xf>
    <xf numFmtId="0" fontId="0" fillId="0" borderId="91" xfId="0" applyBorder="1" applyAlignment="1" applyProtection="1">
      <alignment horizontal="left" wrapText="1"/>
    </xf>
    <xf numFmtId="0" fontId="2" fillId="0" borderId="3" xfId="0" applyFont="1" applyBorder="1" applyAlignment="1" applyProtection="1">
      <alignment horizontal="center" wrapText="1"/>
    </xf>
    <xf numFmtId="0" fontId="2" fillId="0" borderId="134" xfId="0" applyFont="1" applyBorder="1" applyAlignment="1" applyProtection="1">
      <alignment horizontal="center" wrapText="1"/>
    </xf>
    <xf numFmtId="0" fontId="2" fillId="0" borderId="133" xfId="0" applyFont="1" applyBorder="1" applyAlignment="1" applyProtection="1">
      <alignment horizontal="center" wrapText="1"/>
    </xf>
    <xf numFmtId="0" fontId="0" fillId="0" borderId="32" xfId="0" applyBorder="1" applyAlignment="1" applyProtection="1">
      <alignment horizontal="left" wrapText="1"/>
    </xf>
    <xf numFmtId="0" fontId="0" fillId="0" borderId="26" xfId="0" applyBorder="1" applyAlignment="1" applyProtection="1">
      <alignment horizontal="left" wrapText="1"/>
    </xf>
    <xf numFmtId="0" fontId="0" fillId="0" borderId="25" xfId="0" applyBorder="1" applyAlignment="1" applyProtection="1">
      <alignment horizontal="left" wrapText="1"/>
    </xf>
    <xf numFmtId="0" fontId="2" fillId="0" borderId="152" xfId="0" applyFont="1" applyBorder="1" applyAlignment="1" applyProtection="1">
      <alignment horizontal="center" wrapText="1"/>
    </xf>
    <xf numFmtId="0" fontId="2" fillId="0" borderId="153" xfId="0" applyFont="1" applyBorder="1" applyAlignment="1" applyProtection="1">
      <alignment horizontal="center" wrapText="1"/>
    </xf>
    <xf numFmtId="0" fontId="2" fillId="0" borderId="154" xfId="0" applyFont="1" applyBorder="1" applyAlignment="1" applyProtection="1">
      <alignment horizontal="center" wrapText="1"/>
    </xf>
    <xf numFmtId="0" fontId="2" fillId="0" borderId="155" xfId="0" applyFont="1" applyBorder="1" applyAlignment="1" applyProtection="1">
      <alignment horizontal="center" wrapText="1"/>
    </xf>
    <xf numFmtId="0" fontId="0" fillId="0" borderId="156" xfId="0" applyBorder="1" applyAlignment="1" applyProtection="1">
      <alignment horizontal="center"/>
    </xf>
    <xf numFmtId="0" fontId="0" fillId="0" borderId="157" xfId="0" applyBorder="1" applyAlignment="1" applyProtection="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5" xfId="0" applyFont="1" applyFill="1" applyBorder="1" applyAlignment="1">
      <alignment horizontal="center"/>
    </xf>
  </cellXfs>
  <cellStyles count="6">
    <cellStyle name="Comma" xfId="1" builtinId="3"/>
    <cellStyle name="Currency" xfId="5" builtinId="4"/>
    <cellStyle name="Hyperlink" xfId="3" builtinId="8"/>
    <cellStyle name="Normal" xfId="0" builtinId="0"/>
    <cellStyle name="Normal 2" xfId="4" xr:uid="{79E82613-167B-4449-8801-4486E0E67E68}"/>
    <cellStyle name="Percent" xfId="2" builtinId="5"/>
  </cellStyles>
  <dxfs count="2">
    <dxf>
      <numFmt numFmtId="0" formatCode="General"/>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D9E1F2"/>
      <color rgb="FFD9F5DE"/>
      <color rgb="FFFFF2CC"/>
      <color rgb="FFCC66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300"/>
            </a:pPr>
            <a:r>
              <a:rPr lang="en-US" sz="1300"/>
              <a:t>Forecast of Cumulative GHG Emission</a:t>
            </a:r>
            <a:r>
              <a:rPr lang="en-US" sz="1300" baseline="0"/>
              <a:t> Impacts from Selected </a:t>
            </a:r>
            <a:r>
              <a:rPr lang="en-US" sz="1300"/>
              <a:t>Policy Options</a:t>
            </a:r>
          </a:p>
        </c:rich>
      </c:tx>
      <c:layout>
        <c:manualLayout>
          <c:xMode val="edge"/>
          <c:yMode val="edge"/>
          <c:x val="9.848729666936254E-2"/>
          <c:y val="5.4025787666487572E-2"/>
        </c:manualLayout>
      </c:layout>
      <c:overlay val="1"/>
      <c:spPr>
        <a:noFill/>
        <a:ln>
          <a:noFill/>
        </a:ln>
        <a:effectLst/>
      </c:spPr>
    </c:title>
    <c:autoTitleDeleted val="0"/>
    <c:plotArea>
      <c:layout>
        <c:manualLayout>
          <c:layoutTarget val="inner"/>
          <c:xMode val="edge"/>
          <c:yMode val="edge"/>
          <c:x val="0.11593689903330601"/>
          <c:y val="0.13873866988806499"/>
          <c:w val="0.59731457607355998"/>
          <c:h val="0.73257357820249203"/>
        </c:manualLayout>
      </c:layout>
      <c:areaChart>
        <c:grouping val="stacked"/>
        <c:varyColors val="0"/>
        <c:ser>
          <c:idx val="0"/>
          <c:order val="0"/>
          <c:tx>
            <c:strRef>
              <c:f>'stock-flow model'!$F$1</c:f>
              <c:strCache>
                <c:ptCount val="1"/>
                <c:pt idx="0">
                  <c:v>Unabated Emissions</c:v>
                </c:pt>
              </c:strCache>
            </c:strRef>
          </c:tx>
          <c:spPr>
            <a:blipFill>
              <a:blip xmlns:r="http://schemas.openxmlformats.org/officeDocument/2006/relationships" r:embed="rId1"/>
              <a:stretch>
                <a:fillRect/>
              </a:stretch>
            </a:blip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model'!$F$2:$F$27</c:f>
              <c:numCache>
                <c:formatCode>_(* #,##0_);_(* \(#,##0\);_(* "-"??_);_(@_)</c:formatCode>
                <c:ptCount val="26"/>
                <c:pt idx="0">
                  <c:v>1096122.7763067521</c:v>
                </c:pt>
                <c:pt idx="1">
                  <c:v>1060934.5405731951</c:v>
                </c:pt>
                <c:pt idx="2">
                  <c:v>967738.7382465431</c:v>
                </c:pt>
                <c:pt idx="3">
                  <c:v>881426.56596336362</c:v>
                </c:pt>
                <c:pt idx="4">
                  <c:v>801331.15091561619</c:v>
                </c:pt>
                <c:pt idx="5">
                  <c:v>726850.87136669143</c:v>
                </c:pt>
                <c:pt idx="6">
                  <c:v>657442.94145775679</c:v>
                </c:pt>
                <c:pt idx="7">
                  <c:v>592617.62937616068</c:v>
                </c:pt>
                <c:pt idx="8">
                  <c:v>531933.04568165634</c:v>
                </c:pt>
                <c:pt idx="9">
                  <c:v>474990.4450608698</c:v>
                </c:pt>
                <c:pt idx="10">
                  <c:v>421429.99055482249</c:v>
                </c:pt>
                <c:pt idx="11">
                  <c:v>387699.26118685259</c:v>
                </c:pt>
                <c:pt idx="12">
                  <c:v>357307.29243019549</c:v>
                </c:pt>
                <c:pt idx="13">
                  <c:v>329710.12934554816</c:v>
                </c:pt>
                <c:pt idx="14">
                  <c:v>304093.43515367853</c:v>
                </c:pt>
                <c:pt idx="15">
                  <c:v>280307.20960714773</c:v>
                </c:pt>
                <c:pt idx="16">
                  <c:v>258213.35662839958</c:v>
                </c:pt>
                <c:pt idx="17">
                  <c:v>237684.70110861165</c:v>
                </c:pt>
                <c:pt idx="18">
                  <c:v>218604.08979787817</c:v>
                </c:pt>
                <c:pt idx="19">
                  <c:v>200863.5688394875</c:v>
                </c:pt>
                <c:pt idx="20">
                  <c:v>184363.63118988741</c:v>
                </c:pt>
                <c:pt idx="21">
                  <c:v>169012.46439194342</c:v>
                </c:pt>
                <c:pt idx="22">
                  <c:v>154711.87896673242</c:v>
                </c:pt>
                <c:pt idx="23">
                  <c:v>141343.51981855603</c:v>
                </c:pt>
                <c:pt idx="24">
                  <c:v>128840.55837241397</c:v>
                </c:pt>
                <c:pt idx="25">
                  <c:v>0</c:v>
                </c:pt>
              </c:numCache>
            </c:numRef>
          </c:val>
          <c:extLst>
            <c:ext xmlns:c16="http://schemas.microsoft.com/office/drawing/2014/chart" uri="{C3380CC4-5D6E-409C-BE32-E72D297353CC}">
              <c16:uniqueId val="{00000000-3CE2-4D72-8E89-63B02EE6F20D}"/>
            </c:ext>
          </c:extLst>
        </c:ser>
        <c:ser>
          <c:idx val="1"/>
          <c:order val="1"/>
          <c:tx>
            <c:strRef>
              <c:f>'stock-flow model'!$G$1</c:f>
              <c:strCache>
                <c:ptCount val="1"/>
                <c:pt idx="0">
                  <c:v>End of Flow</c:v>
                </c:pt>
              </c:strCache>
            </c:strRef>
          </c:tx>
          <c:spPr>
            <a:gradFill flip="none" rotWithShape="1">
              <a:gsLst>
                <a:gs pos="0">
                  <a:srgbClr val="00CC00">
                    <a:shade val="30000"/>
                    <a:satMod val="115000"/>
                  </a:srgbClr>
                </a:gs>
                <a:gs pos="50000">
                  <a:srgbClr val="00CC00">
                    <a:shade val="67500"/>
                    <a:satMod val="115000"/>
                  </a:srgbClr>
                </a:gs>
                <a:gs pos="100000">
                  <a:srgbClr val="00CC00">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model'!$G$2:$G$27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117141.31699305633</c:v>
                </c:pt>
              </c:numCache>
            </c:numRef>
          </c:val>
          <c:extLst>
            <c:ext xmlns:c16="http://schemas.microsoft.com/office/drawing/2014/chart" uri="{C3380CC4-5D6E-409C-BE32-E72D297353CC}">
              <c16:uniqueId val="{00000001-3CE2-4D72-8E89-63B02EE6F20D}"/>
            </c:ext>
          </c:extLst>
        </c:ser>
        <c:ser>
          <c:idx val="4"/>
          <c:order val="2"/>
          <c:tx>
            <c:strRef>
              <c:f>'stock-flow model'!$H$1</c:f>
              <c:strCache>
                <c:ptCount val="1"/>
                <c:pt idx="0">
                  <c:v>5. Performance Standards</c:v>
                </c:pt>
              </c:strCache>
            </c:strRef>
          </c:tx>
          <c:spPr>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model'!$H$2:$H$27</c:f>
              <c:numCache>
                <c:formatCode>_(* #,##0_);_(* \(#,##0\);_(* "-"??_);_(@_)</c:formatCode>
                <c:ptCount val="26"/>
                <c:pt idx="0">
                  <c:v>0</c:v>
                </c:pt>
                <c:pt idx="1">
                  <c:v>0</c:v>
                </c:pt>
                <c:pt idx="2">
                  <c:v>3579.7170165249822</c:v>
                </c:pt>
                <c:pt idx="3">
                  <c:v>6651.2984757609111</c:v>
                </c:pt>
                <c:pt idx="4">
                  <c:v>9257.3541747059444</c:v>
                </c:pt>
                <c:pt idx="5">
                  <c:v>11436.16511850751</c:v>
                </c:pt>
                <c:pt idx="6">
                  <c:v>13222.113304765449</c:v>
                </c:pt>
                <c:pt idx="7">
                  <c:v>14646.069518626275</c:v>
                </c:pt>
                <c:pt idx="8">
                  <c:v>15735.743175406853</c:v>
                </c:pt>
                <c:pt idx="9">
                  <c:v>16515.997866465474</c:v>
                </c:pt>
                <c:pt idx="10">
                  <c:v>17009.135918170348</c:v>
                </c:pt>
                <c:pt idx="11">
                  <c:v>17835.120439985396</c:v>
                </c:pt>
                <c:pt idx="12">
                  <c:v>18212.407281311029</c:v>
                </c:pt>
                <c:pt idx="13">
                  <c:v>18212.407281311029</c:v>
                </c:pt>
                <c:pt idx="14">
                  <c:v>18212.407281311029</c:v>
                </c:pt>
                <c:pt idx="15">
                  <c:v>18212.407281311029</c:v>
                </c:pt>
                <c:pt idx="16">
                  <c:v>18212.407281311029</c:v>
                </c:pt>
                <c:pt idx="17">
                  <c:v>18212.407281311029</c:v>
                </c:pt>
                <c:pt idx="18">
                  <c:v>18212.407281311029</c:v>
                </c:pt>
                <c:pt idx="19">
                  <c:v>18212.407281311029</c:v>
                </c:pt>
                <c:pt idx="20">
                  <c:v>18212.407281311029</c:v>
                </c:pt>
                <c:pt idx="21">
                  <c:v>18212.407281311029</c:v>
                </c:pt>
                <c:pt idx="22">
                  <c:v>18212.407281311029</c:v>
                </c:pt>
                <c:pt idx="23">
                  <c:v>18212.407281311029</c:v>
                </c:pt>
                <c:pt idx="24">
                  <c:v>18212.407281311029</c:v>
                </c:pt>
                <c:pt idx="25">
                  <c:v>18212.407281311029</c:v>
                </c:pt>
              </c:numCache>
            </c:numRef>
          </c:val>
          <c:extLst>
            <c:ext xmlns:c16="http://schemas.microsoft.com/office/drawing/2014/chart" uri="{C3380CC4-5D6E-409C-BE32-E72D297353CC}">
              <c16:uniqueId val="{00000002-3CE2-4D72-8E89-63B02EE6F20D}"/>
            </c:ext>
          </c:extLst>
        </c:ser>
        <c:ser>
          <c:idx val="2"/>
          <c:order val="3"/>
          <c:tx>
            <c:strRef>
              <c:f>'stock-flow model'!$I$1</c:f>
              <c:strCache>
                <c:ptCount val="1"/>
                <c:pt idx="0">
                  <c:v>4. Upgrade at Major Renovation</c:v>
                </c:pt>
              </c:strCache>
            </c:strRef>
          </c:tx>
          <c:spPr>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model'!$I$2:$I$27</c:f>
              <c:numCache>
                <c:formatCode>_(* #,##0_);_(* \(#,##0\);_(* "-"??_);_(@_)</c:formatCode>
                <c:ptCount val="26"/>
                <c:pt idx="0">
                  <c:v>0</c:v>
                </c:pt>
                <c:pt idx="1">
                  <c:v>0</c:v>
                </c:pt>
                <c:pt idx="2">
                  <c:v>1814.6312121451772</c:v>
                </c:pt>
                <c:pt idx="3">
                  <c:v>3484.7738027624232</c:v>
                </c:pt>
                <c:pt idx="4">
                  <c:v>5023.5000528554247</c:v>
                </c:pt>
                <c:pt idx="5">
                  <c:v>6442.5633023198461</c:v>
                </c:pt>
                <c:pt idx="6">
                  <c:v>7752.5348588963516</c:v>
                </c:pt>
                <c:pt idx="7">
                  <c:v>8962.9264222021338</c:v>
                </c:pt>
                <c:pt idx="8">
                  <c:v>10082.299584583998</c:v>
                </c:pt>
                <c:pt idx="9">
                  <c:v>11118.363798550703</c:v>
                </c:pt>
                <c:pt idx="10">
                  <c:v>12078.064047939768</c:v>
                </c:pt>
                <c:pt idx="11">
                  <c:v>12945.018359830057</c:v>
                </c:pt>
                <c:pt idx="12">
                  <c:v>13746.69571846641</c:v>
                </c:pt>
                <c:pt idx="13">
                  <c:v>14496.425785142041</c:v>
                </c:pt>
                <c:pt idx="14">
                  <c:v>15201.171906275222</c:v>
                </c:pt>
                <c:pt idx="15">
                  <c:v>15864.047952213356</c:v>
                </c:pt>
                <c:pt idx="16">
                  <c:v>16487.937723484127</c:v>
                </c:pt>
                <c:pt idx="17">
                  <c:v>17075.513084055503</c:v>
                </c:pt>
                <c:pt idx="18">
                  <c:v>17629.250573599991</c:v>
                </c:pt>
                <c:pt idx="19">
                  <c:v>18151.446633889307</c:v>
                </c:pt>
                <c:pt idx="20">
                  <c:v>18644.231571802302</c:v>
                </c:pt>
                <c:pt idx="21">
                  <c:v>19109.645764810444</c:v>
                </c:pt>
                <c:pt idx="22">
                  <c:v>19551.965765708948</c:v>
                </c:pt>
                <c:pt idx="23">
                  <c:v>19972.650403184409</c:v>
                </c:pt>
                <c:pt idx="24">
                  <c:v>20373.056193604716</c:v>
                </c:pt>
                <c:pt idx="25">
                  <c:v>20754.4451639666</c:v>
                </c:pt>
              </c:numCache>
            </c:numRef>
          </c:val>
          <c:extLst>
            <c:ext xmlns:c16="http://schemas.microsoft.com/office/drawing/2014/chart" uri="{C3380CC4-5D6E-409C-BE32-E72D297353CC}">
              <c16:uniqueId val="{00000003-3CE2-4D72-8E89-63B02EE6F20D}"/>
            </c:ext>
          </c:extLst>
        </c:ser>
        <c:ser>
          <c:idx val="3"/>
          <c:order val="4"/>
          <c:tx>
            <c:strRef>
              <c:f>'stock-flow model'!$J$1</c:f>
              <c:strCache>
                <c:ptCount val="1"/>
                <c:pt idx="0">
                  <c:v>3. Upgrade at Equip't Replacem't</c:v>
                </c:pt>
              </c:strCache>
            </c:strRef>
          </c:tx>
          <c:spPr>
            <a:gradFill flip="none" rotWithShape="1">
              <a:gsLst>
                <a:gs pos="0">
                  <a:schemeClr val="accent1">
                    <a:lumMod val="75000"/>
                    <a:shade val="30000"/>
                    <a:satMod val="115000"/>
                  </a:schemeClr>
                </a:gs>
                <a:gs pos="50000">
                  <a:schemeClr val="accent1">
                    <a:lumMod val="75000"/>
                    <a:shade val="67500"/>
                    <a:satMod val="115000"/>
                  </a:schemeClr>
                </a:gs>
                <a:gs pos="100000">
                  <a:schemeClr val="accent1">
                    <a:lumMod val="75000"/>
                    <a:shade val="100000"/>
                    <a:satMod val="115000"/>
                  </a:scheme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model'!$J$2:$J$27</c:f>
              <c:numCache>
                <c:formatCode>_(* #,##0_);_(* \(#,##0\);_(* "-"??_);_(@_)</c:formatCode>
                <c:ptCount val="26"/>
                <c:pt idx="0">
                  <c:v>0</c:v>
                </c:pt>
                <c:pt idx="1">
                  <c:v>0</c:v>
                </c:pt>
                <c:pt idx="2">
                  <c:v>53681.247878684633</c:v>
                </c:pt>
                <c:pt idx="3">
                  <c:v>102725.28188232568</c:v>
                </c:pt>
                <c:pt idx="4">
                  <c:v>147588.96251368237</c:v>
                </c:pt>
                <c:pt idx="5">
                  <c:v>188683.67037131166</c:v>
                </c:pt>
                <c:pt idx="6">
                  <c:v>226379.81556457392</c:v>
                </c:pt>
                <c:pt idx="7">
                  <c:v>261010.90392222465</c:v>
                </c:pt>
                <c:pt idx="8">
                  <c:v>292877.20311336452</c:v>
                </c:pt>
                <c:pt idx="9">
                  <c:v>322249.04765067721</c:v>
                </c:pt>
                <c:pt idx="10">
                  <c:v>349369.81799106055</c:v>
                </c:pt>
                <c:pt idx="11">
                  <c:v>372530.98177180195</c:v>
                </c:pt>
                <c:pt idx="12">
                  <c:v>393590.04115443421</c:v>
                </c:pt>
                <c:pt idx="13">
                  <c:v>412944.37928848062</c:v>
                </c:pt>
                <c:pt idx="14">
                  <c:v>430967.73118058825</c:v>
                </c:pt>
                <c:pt idx="15">
                  <c:v>447755.61197178479</c:v>
                </c:pt>
                <c:pt idx="16">
                  <c:v>463396.39054345491</c:v>
                </c:pt>
                <c:pt idx="17">
                  <c:v>477971.84434560523</c:v>
                </c:pt>
                <c:pt idx="18">
                  <c:v>491557.66982315347</c:v>
                </c:pt>
                <c:pt idx="19">
                  <c:v>504223.95207477768</c:v>
                </c:pt>
                <c:pt idx="20">
                  <c:v>516035.59707738535</c:v>
                </c:pt>
                <c:pt idx="21">
                  <c:v>527052.72953277663</c:v>
                </c:pt>
                <c:pt idx="22">
                  <c:v>537342.18574096495</c:v>
                </c:pt>
                <c:pt idx="23">
                  <c:v>546996.12659979798</c:v>
                </c:pt>
                <c:pt idx="24">
                  <c:v>556057.42152354575</c:v>
                </c:pt>
                <c:pt idx="25">
                  <c:v>564565.82667029637</c:v>
                </c:pt>
              </c:numCache>
            </c:numRef>
          </c:val>
          <c:extLst>
            <c:ext xmlns:c16="http://schemas.microsoft.com/office/drawing/2014/chart" uri="{C3380CC4-5D6E-409C-BE32-E72D297353CC}">
              <c16:uniqueId val="{00000004-3CE2-4D72-8E89-63B02EE6F20D}"/>
            </c:ext>
          </c:extLst>
        </c:ser>
        <c:ser>
          <c:idx val="5"/>
          <c:order val="5"/>
          <c:tx>
            <c:strRef>
              <c:f>'stock-flow model'!$K$1</c:f>
              <c:strCache>
                <c:ptCount val="1"/>
                <c:pt idx="0">
                  <c:v>2. Energy Assessment</c:v>
                </c:pt>
              </c:strCache>
            </c:strRef>
          </c:tx>
          <c:spPr>
            <a:solidFill>
              <a:srgbClr val="FFC000"/>
            </a:soli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model'!$K$2:$K$27</c:f>
              <c:numCache>
                <c:formatCode>_(* #,##0_);_(* \(#,##0\);_(* "-"??_);_(@_)</c:formatCode>
                <c:ptCount val="26"/>
                <c:pt idx="0">
                  <c:v>0</c:v>
                </c:pt>
                <c:pt idx="1">
                  <c:v>0</c:v>
                </c:pt>
                <c:pt idx="2">
                  <c:v>606.6520120099641</c:v>
                </c:pt>
                <c:pt idx="3">
                  <c:v>1134.6933852102618</c:v>
                </c:pt>
                <c:pt idx="4">
                  <c:v>1593.1859099172448</c:v>
                </c:pt>
                <c:pt idx="5">
                  <c:v>1990.0150346101566</c:v>
                </c:pt>
                <c:pt idx="6">
                  <c:v>2332.0611701526786</c:v>
                </c:pt>
                <c:pt idx="7">
                  <c:v>2625.3434854743177</c:v>
                </c:pt>
                <c:pt idx="8">
                  <c:v>2875.1409724826963</c:v>
                </c:pt>
                <c:pt idx="9">
                  <c:v>3086.0946771770518</c:v>
                </c:pt>
                <c:pt idx="10">
                  <c:v>3262.2942825682853</c:v>
                </c:pt>
                <c:pt idx="11">
                  <c:v>3456.0419884390044</c:v>
                </c:pt>
                <c:pt idx="12">
                  <c:v>3629.4262471814955</c:v>
                </c:pt>
                <c:pt idx="13">
                  <c:v>3784.782970597556</c:v>
                </c:pt>
                <c:pt idx="14">
                  <c:v>3924.1594504195241</c:v>
                </c:pt>
                <c:pt idx="15">
                  <c:v>4049.3526765651973</c:v>
                </c:pt>
                <c:pt idx="16">
                  <c:v>4161.9421765711986</c:v>
                </c:pt>
                <c:pt idx="17">
                  <c:v>4263.3182212508673</c:v>
                </c:pt>
                <c:pt idx="18">
                  <c:v>4354.7061014195287</c:v>
                </c:pt>
                <c:pt idx="19">
                  <c:v>4437.1870651388454</c:v>
                </c:pt>
                <c:pt idx="20">
                  <c:v>4511.7164097266632</c:v>
                </c:pt>
                <c:pt idx="21">
                  <c:v>4579.1391440296939</c:v>
                </c:pt>
                <c:pt idx="22">
                  <c:v>4640.2035711522103</c:v>
                </c:pt>
                <c:pt idx="23">
                  <c:v>4695.5730875390409</c:v>
                </c:pt>
                <c:pt idx="24">
                  <c:v>4745.8364490522745</c:v>
                </c:pt>
                <c:pt idx="25">
                  <c:v>4791.5167168563012</c:v>
                </c:pt>
              </c:numCache>
            </c:numRef>
          </c:val>
          <c:extLst>
            <c:ext xmlns:c16="http://schemas.microsoft.com/office/drawing/2014/chart" uri="{C3380CC4-5D6E-409C-BE32-E72D297353CC}">
              <c16:uniqueId val="{00000005-3CE2-4D72-8E89-63B02EE6F20D}"/>
            </c:ext>
          </c:extLst>
        </c:ser>
        <c:ser>
          <c:idx val="7"/>
          <c:order val="7"/>
          <c:tx>
            <c:strRef>
              <c:f>'stock-flow model'!$M$1</c:f>
              <c:strCache>
                <c:ptCount val="1"/>
                <c:pt idx="0">
                  <c:v>New Construction Reach Code </c:v>
                </c:pt>
              </c:strCache>
            </c:strRef>
          </c:tx>
          <c:spPr>
            <a:gradFill flip="none" rotWithShape="1">
              <a:gsLst>
                <a:gs pos="0">
                  <a:srgbClr val="CC66FF">
                    <a:shade val="30000"/>
                    <a:satMod val="115000"/>
                  </a:srgbClr>
                </a:gs>
                <a:gs pos="50000">
                  <a:srgbClr val="CC66FF">
                    <a:shade val="67500"/>
                    <a:satMod val="115000"/>
                  </a:srgbClr>
                </a:gs>
                <a:gs pos="100000">
                  <a:srgbClr val="CC66FF">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model'!$M$2:$M$27</c:f>
              <c:numCache>
                <c:formatCode>_(* #,##0_);_(* \(#,##0\);_(* "-"??_);_(@_)</c:formatCode>
                <c:ptCount val="26"/>
                <c:pt idx="0">
                  <c:v>0</c:v>
                </c:pt>
                <c:pt idx="1">
                  <c:v>2537.5701161034253</c:v>
                </c:pt>
                <c:pt idx="2">
                  <c:v>5103.8247889291397</c:v>
                </c:pt>
                <c:pt idx="3">
                  <c:v>7698.7640184771417</c:v>
                </c:pt>
                <c:pt idx="4">
                  <c:v>10322.387804747434</c:v>
                </c:pt>
                <c:pt idx="5">
                  <c:v>12974.696147740015</c:v>
                </c:pt>
                <c:pt idx="6">
                  <c:v>15655.689047454882</c:v>
                </c:pt>
                <c:pt idx="7">
                  <c:v>18365.366503892041</c:v>
                </c:pt>
                <c:pt idx="8">
                  <c:v>21103.728517051488</c:v>
                </c:pt>
                <c:pt idx="9">
                  <c:v>23870.775086933227</c:v>
                </c:pt>
                <c:pt idx="10">
                  <c:v>26666.50621353725</c:v>
                </c:pt>
                <c:pt idx="11">
                  <c:v>29333.156834890979</c:v>
                </c:pt>
                <c:pt idx="12">
                  <c:v>31999.8074562447</c:v>
                </c:pt>
                <c:pt idx="13">
                  <c:v>34666.458077598429</c:v>
                </c:pt>
                <c:pt idx="14">
                  <c:v>37333.10869895215</c:v>
                </c:pt>
                <c:pt idx="15">
                  <c:v>39999.759320305871</c:v>
                </c:pt>
                <c:pt idx="16">
                  <c:v>42666.4099416596</c:v>
                </c:pt>
                <c:pt idx="17">
                  <c:v>45333.060563013329</c:v>
                </c:pt>
                <c:pt idx="18">
                  <c:v>47999.71118436705</c:v>
                </c:pt>
                <c:pt idx="19">
                  <c:v>50666.361805720786</c:v>
                </c:pt>
                <c:pt idx="20">
                  <c:v>53333.012427074507</c:v>
                </c:pt>
                <c:pt idx="21">
                  <c:v>55999.663048428236</c:v>
                </c:pt>
                <c:pt idx="22">
                  <c:v>58666.313669781957</c:v>
                </c:pt>
                <c:pt idx="23">
                  <c:v>61332.964291135693</c:v>
                </c:pt>
                <c:pt idx="24">
                  <c:v>63999.6149124894</c:v>
                </c:pt>
                <c:pt idx="25">
                  <c:v>66666.265533843136</c:v>
                </c:pt>
              </c:numCache>
            </c:numRef>
          </c:val>
          <c:extLst>
            <c:ext xmlns:c16="http://schemas.microsoft.com/office/drawing/2014/chart" uri="{C3380CC4-5D6E-409C-BE32-E72D297353CC}">
              <c16:uniqueId val="{00000006-3CE2-4D72-8E89-63B02EE6F20D}"/>
            </c:ext>
          </c:extLst>
        </c:ser>
        <c:dLbls>
          <c:showLegendKey val="0"/>
          <c:showVal val="0"/>
          <c:showCatName val="0"/>
          <c:showSerName val="0"/>
          <c:showPercent val="0"/>
          <c:showBubbleSize val="0"/>
        </c:dLbls>
        <c:axId val="2141167496"/>
        <c:axId val="2141173896"/>
        <c:extLst>
          <c:ext xmlns:c15="http://schemas.microsoft.com/office/drawing/2012/chart" uri="{02D57815-91ED-43cb-92C2-25804820EDAC}">
            <c15:filteredAreaSeries>
              <c15:ser>
                <c:idx val="6"/>
                <c:order val="6"/>
                <c:tx>
                  <c:strRef>
                    <c:extLst>
                      <c:ext uri="{02D57815-91ED-43cb-92C2-25804820EDAC}">
                        <c15:formulaRef>
                          <c15:sqref>'stock-flow model'!$L$1</c15:sqref>
                        </c15:formulaRef>
                      </c:ext>
                    </c:extLst>
                    <c:strCache>
                      <c:ptCount val="1"/>
                      <c:pt idx="0">
                        <c:v>1. Code Compliance</c:v>
                      </c:pt>
                    </c:strCache>
                  </c:strRef>
                </c:tx>
                <c:spPr>
                  <a:ln w="25400">
                    <a:noFill/>
                  </a:ln>
                </c:spPr>
                <c:cat>
                  <c:numRef>
                    <c:extLst>
                      <c:ext uri="{02D57815-91ED-43cb-92C2-25804820EDAC}">
                        <c15:formulaRef>
                          <c15:sqref>'stock-flow model'!$C$2:$C$27</c15:sqref>
                        </c15:formulaRef>
                      </c:ext>
                    </c:extLst>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extLst>
                      <c:ext uri="{02D57815-91ED-43cb-92C2-25804820EDAC}">
                        <c15:formulaRef>
                          <c15:sqref>'stock-flow model'!$L$2:$L$27</c15:sqref>
                        </c15:formulaRef>
                      </c:ext>
                    </c:extLst>
                    <c:numCache>
                      <c:formatCode>_(* #,##0_);_(* \(#,##0\);_(* "-"??_);_(@_)</c:formatCode>
                      <c:ptCount val="26"/>
                    </c:numCache>
                  </c:numRef>
                </c:val>
                <c:extLst>
                  <c:ext xmlns:c16="http://schemas.microsoft.com/office/drawing/2014/chart" uri="{C3380CC4-5D6E-409C-BE32-E72D297353CC}">
                    <c16:uniqueId val="{00000008-3CE2-4D72-8E89-63B02EE6F20D}"/>
                  </c:ext>
                </c:extLst>
              </c15:ser>
            </c15:filteredAreaSeries>
          </c:ext>
        </c:extLst>
      </c:areaChart>
      <c:lineChart>
        <c:grouping val="standard"/>
        <c:varyColors val="0"/>
        <c:ser>
          <c:idx val="8"/>
          <c:order val="8"/>
          <c:tx>
            <c:strRef>
              <c:f>'stock-flow model'!$N$1</c:f>
              <c:strCache>
                <c:ptCount val="1"/>
                <c:pt idx="0">
                  <c:v>Zero Emissions Building Goal</c:v>
                </c:pt>
              </c:strCache>
            </c:strRef>
          </c:tx>
          <c:spPr>
            <a:ln w="28575">
              <a:solidFill>
                <a:schemeClr val="bg1"/>
              </a:solidFill>
              <a:prstDash val="lgDash"/>
            </a:ln>
          </c:spPr>
          <c:marker>
            <c:symbol val="none"/>
          </c:marke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model'!$N$2:$N$27</c:f>
              <c:numCache>
                <c:formatCode>_(* #,##0_);_(* \(#,##0\);_(* "-"??_);_(@_)</c:formatCode>
                <c:ptCount val="26"/>
                <c:pt idx="0">
                  <c:v>1096122.7763067521</c:v>
                </c:pt>
                <c:pt idx="1">
                  <c:v>1052277.865254482</c:v>
                </c:pt>
                <c:pt idx="2">
                  <c:v>1008432.954202212</c:v>
                </c:pt>
                <c:pt idx="3">
                  <c:v>964588.04314994183</c:v>
                </c:pt>
                <c:pt idx="4">
                  <c:v>920743.13209767174</c:v>
                </c:pt>
                <c:pt idx="5">
                  <c:v>876898.22104540176</c:v>
                </c:pt>
                <c:pt idx="6">
                  <c:v>833053.30999313167</c:v>
                </c:pt>
                <c:pt idx="7">
                  <c:v>789208.39894086146</c:v>
                </c:pt>
                <c:pt idx="8">
                  <c:v>745363.48788859148</c:v>
                </c:pt>
                <c:pt idx="9">
                  <c:v>701518.57683632139</c:v>
                </c:pt>
                <c:pt idx="10">
                  <c:v>657673.66578405129</c:v>
                </c:pt>
                <c:pt idx="11">
                  <c:v>613828.7547317812</c:v>
                </c:pt>
                <c:pt idx="12">
                  <c:v>569983.8436795111</c:v>
                </c:pt>
                <c:pt idx="13">
                  <c:v>526138.93262724101</c:v>
                </c:pt>
                <c:pt idx="14">
                  <c:v>482294.02157497092</c:v>
                </c:pt>
                <c:pt idx="15">
                  <c:v>438449.11052270088</c:v>
                </c:pt>
                <c:pt idx="16">
                  <c:v>394604.19947043073</c:v>
                </c:pt>
                <c:pt idx="17">
                  <c:v>350759.28841816069</c:v>
                </c:pt>
                <c:pt idx="18">
                  <c:v>306914.3773658906</c:v>
                </c:pt>
                <c:pt idx="19">
                  <c:v>263069.46631362051</c:v>
                </c:pt>
                <c:pt idx="20">
                  <c:v>219224.55526135044</c:v>
                </c:pt>
                <c:pt idx="21">
                  <c:v>175379.64420908035</c:v>
                </c:pt>
                <c:pt idx="22">
                  <c:v>131534.73315681025</c:v>
                </c:pt>
                <c:pt idx="23">
                  <c:v>87689.822104540173</c:v>
                </c:pt>
                <c:pt idx="24">
                  <c:v>43844.911052270087</c:v>
                </c:pt>
                <c:pt idx="25">
                  <c:v>0</c:v>
                </c:pt>
              </c:numCache>
            </c:numRef>
          </c:val>
          <c:smooth val="0"/>
          <c:extLst>
            <c:ext xmlns:c16="http://schemas.microsoft.com/office/drawing/2014/chart" uri="{C3380CC4-5D6E-409C-BE32-E72D297353CC}">
              <c16:uniqueId val="{00000007-3CE2-4D72-8E89-63B02EE6F20D}"/>
            </c:ext>
          </c:extLst>
        </c:ser>
        <c:dLbls>
          <c:showLegendKey val="0"/>
          <c:showVal val="0"/>
          <c:showCatName val="0"/>
          <c:showSerName val="0"/>
          <c:showPercent val="0"/>
          <c:showBubbleSize val="0"/>
        </c:dLbls>
        <c:marker val="1"/>
        <c:smooth val="0"/>
        <c:axId val="2141167496"/>
        <c:axId val="2141173896"/>
      </c:lineChart>
      <c:catAx>
        <c:axId val="2141167496"/>
        <c:scaling>
          <c:orientation val="minMax"/>
        </c:scaling>
        <c:delete val="0"/>
        <c:axPos val="b"/>
        <c:title>
          <c:tx>
            <c:rich>
              <a:bodyPr rot="0" vert="horz"/>
              <a:lstStyle/>
              <a:p>
                <a:pPr>
                  <a:defRPr/>
                </a:pPr>
                <a:r>
                  <a:rPr lang="en-US"/>
                  <a:t>Year</a:t>
                </a:r>
              </a:p>
            </c:rich>
          </c:tx>
          <c:layout>
            <c:manualLayout>
              <c:xMode val="edge"/>
              <c:yMode val="edge"/>
              <c:x val="0.35347088456079839"/>
              <c:y val="0.95768323930042309"/>
            </c:manualLayout>
          </c:layout>
          <c:overlay val="0"/>
          <c:spPr>
            <a:noFill/>
            <a:ln>
              <a:noFill/>
            </a:ln>
            <a:effectLst/>
          </c:spPr>
        </c:title>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vert="horz"/>
          <a:lstStyle/>
          <a:p>
            <a:pPr>
              <a:defRPr/>
            </a:pPr>
            <a:endParaRPr lang="en-US"/>
          </a:p>
        </c:txPr>
        <c:crossAx val="2141173896"/>
        <c:crosses val="autoZero"/>
        <c:auto val="1"/>
        <c:lblAlgn val="ctr"/>
        <c:lblOffset val="100"/>
        <c:noMultiLvlLbl val="0"/>
      </c:catAx>
      <c:valAx>
        <c:axId val="2141173896"/>
        <c:scaling>
          <c:orientation val="minMax"/>
        </c:scaling>
        <c:delete val="0"/>
        <c:axPos val="l"/>
        <c:majorGridlines>
          <c:spPr>
            <a:ln w="1905" cap="flat" cmpd="sng" algn="ctr">
              <a:solidFill>
                <a:srgbClr val="737373"/>
              </a:solidFill>
              <a:prstDash val="solid"/>
              <a:round/>
              <a:headEnd type="none" w="med" len="med"/>
              <a:tailEnd type="none" w="med" len="med"/>
            </a:ln>
            <a:effectLst/>
          </c:spPr>
        </c:majorGridlines>
        <c:title>
          <c:tx>
            <c:rich>
              <a:bodyPr rot="-5400000" vert="horz"/>
              <a:lstStyle/>
              <a:p>
                <a:pPr>
                  <a:defRPr sz="1100"/>
                </a:pPr>
                <a:r>
                  <a:rPr lang="en-US" sz="1100"/>
                  <a:t>Building</a:t>
                </a:r>
                <a:r>
                  <a:rPr lang="en-US" sz="1100" baseline="0"/>
                  <a:t> </a:t>
                </a:r>
                <a:r>
                  <a:rPr lang="en-US" sz="1100"/>
                  <a:t>Emissions (tons CO2e)</a:t>
                </a:r>
              </a:p>
            </c:rich>
          </c:tx>
          <c:overlay val="0"/>
        </c:title>
        <c:numFmt formatCode="_(* #,##0_);_(* \(#,##0\);_(* &quot;-&quot;??_);_(@_)" sourceLinked="1"/>
        <c:majorTickMark val="out"/>
        <c:minorTickMark val="none"/>
        <c:tickLblPos val="nextTo"/>
        <c:spPr>
          <a:noFill/>
          <a:ln w="6350" cap="flat" cmpd="sng" algn="ctr">
            <a:solidFill>
              <a:schemeClr val="tx1">
                <a:tint val="75000"/>
              </a:schemeClr>
            </a:solidFill>
            <a:prstDash val="solid"/>
            <a:round/>
          </a:ln>
          <a:effectLst/>
        </c:spPr>
        <c:txPr>
          <a:bodyPr rot="-60000000" vert="horz"/>
          <a:lstStyle/>
          <a:p>
            <a:pPr>
              <a:defRPr/>
            </a:pPr>
            <a:endParaRPr lang="en-US"/>
          </a:p>
        </c:txPr>
        <c:crossAx val="2141167496"/>
        <c:crosses val="autoZero"/>
        <c:crossBetween val="between"/>
      </c:valAx>
      <c:spPr>
        <a:solidFill>
          <a:schemeClr val="bg1"/>
        </a:solidFill>
        <a:ln>
          <a:noFill/>
        </a:ln>
        <a:effectLst/>
      </c:spPr>
    </c:plotArea>
    <c:legend>
      <c:legendPos val="r"/>
      <c:layout>
        <c:manualLayout>
          <c:xMode val="edge"/>
          <c:yMode val="edge"/>
          <c:x val="0.74081314954994371"/>
          <c:y val="0.23733890165900862"/>
          <c:w val="0.25918685045005629"/>
          <c:h val="0.61362997210881642"/>
        </c:manualLayout>
      </c:layout>
      <c:overlay val="0"/>
      <c:txPr>
        <a:bodyPr/>
        <a:lstStyle/>
        <a:p>
          <a:pPr>
            <a:defRPr sz="900"/>
          </a:pPr>
          <a:endParaRPr lang="en-US"/>
        </a:p>
      </c:txPr>
    </c:legend>
    <c:plotVisOnly val="1"/>
    <c:dispBlanksAs val="zero"/>
    <c:showDLblsOverMax val="0"/>
  </c:chart>
  <c:spPr>
    <a:solidFill>
      <a:schemeClr val="bg1"/>
    </a:solidFill>
    <a:ln w="6350" cap="flat" cmpd="sng" algn="ctr">
      <a:solidFill>
        <a:schemeClr val="tx1">
          <a:tint val="7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1" l="0.75" r="0.75" t="1" header="0.5" footer="0.5"/>
    <c:pageSetup/>
  </c:printSettings>
</c:chartSpace>
</file>

<file path=xl/ctrlProps/ctrlProp1.xml><?xml version="1.0" encoding="utf-8"?>
<formControlPr xmlns="http://schemas.microsoft.com/office/spreadsheetml/2009/9/main" objectType="CheckBox" checked="Checked" fmlaLink="controls!$B$2" lockText="1" noThreeD="1"/>
</file>

<file path=xl/ctrlProps/ctrlProp10.xml><?xml version="1.0" encoding="utf-8"?>
<formControlPr xmlns="http://schemas.microsoft.com/office/spreadsheetml/2009/9/main" objectType="CheckBox" checked="Checked" fmlaLink="controls!$B$14" lockText="1" noThreeD="1"/>
</file>

<file path=xl/ctrlProps/ctrlProp11.xml><?xml version="1.0" encoding="utf-8"?>
<formControlPr xmlns="http://schemas.microsoft.com/office/spreadsheetml/2009/9/main" objectType="CheckBox" checked="Checked" fmlaLink="controls!$B$15" lockText="1" noThreeD="1"/>
</file>

<file path=xl/ctrlProps/ctrlProp12.xml><?xml version="1.0" encoding="utf-8"?>
<formControlPr xmlns="http://schemas.microsoft.com/office/spreadsheetml/2009/9/main" objectType="CheckBox" checked="Checked" fmlaLink="controls!$B$16" lockText="1" noThreeD="1"/>
</file>

<file path=xl/ctrlProps/ctrlProp13.xml><?xml version="1.0" encoding="utf-8"?>
<formControlPr xmlns="http://schemas.microsoft.com/office/spreadsheetml/2009/9/main" objectType="CheckBox" checked="Checked" fmlaLink="controls!$B$20" lockText="1" noThreeD="1"/>
</file>

<file path=xl/ctrlProps/ctrlProp14.xml><?xml version="1.0" encoding="utf-8"?>
<formControlPr xmlns="http://schemas.microsoft.com/office/spreadsheetml/2009/9/main" objectType="CheckBox" checked="Checked" fmlaLink="controls!$B$21" lockText="1" noThreeD="1"/>
</file>

<file path=xl/ctrlProps/ctrlProp15.xml><?xml version="1.0" encoding="utf-8"?>
<formControlPr xmlns="http://schemas.microsoft.com/office/spreadsheetml/2009/9/main" objectType="CheckBox" checked="Checked" fmlaLink="controls!$B$22" lockText="1" noThreeD="1"/>
</file>

<file path=xl/ctrlProps/ctrlProp16.xml><?xml version="1.0" encoding="utf-8"?>
<formControlPr xmlns="http://schemas.microsoft.com/office/spreadsheetml/2009/9/main" objectType="CheckBox" fmlaLink="controls!$B$26" lockText="1" noThreeD="1"/>
</file>

<file path=xl/ctrlProps/ctrlProp17.xml><?xml version="1.0" encoding="utf-8"?>
<formControlPr xmlns="http://schemas.microsoft.com/office/spreadsheetml/2009/9/main" objectType="CheckBox" fmlaLink="controls!$B$27" lockText="1" noThreeD="1"/>
</file>

<file path=xl/ctrlProps/ctrlProp18.xml><?xml version="1.0" encoding="utf-8"?>
<formControlPr xmlns="http://schemas.microsoft.com/office/spreadsheetml/2009/9/main" objectType="CheckBox" fmlaLink="controls!$B$28" lockText="1" noThreeD="1"/>
</file>

<file path=xl/ctrlProps/ctrlProp2.xml><?xml version="1.0" encoding="utf-8"?>
<formControlPr xmlns="http://schemas.microsoft.com/office/spreadsheetml/2009/9/main" objectType="CheckBox" checked="Checked" fmlaLink="controls!$B$3" lockText="1" noThreeD="1"/>
</file>

<file path=xl/ctrlProps/ctrlProp3.xml><?xml version="1.0" encoding="utf-8"?>
<formControlPr xmlns="http://schemas.microsoft.com/office/spreadsheetml/2009/9/main" objectType="CheckBox" checked="Checked" fmlaLink="controls!$B$4" lockText="1" noThreeD="1"/>
</file>

<file path=xl/ctrlProps/ctrlProp4.xml><?xml version="1.0" encoding="utf-8"?>
<formControlPr xmlns="http://schemas.microsoft.com/office/spreadsheetml/2009/9/main" objectType="CheckBox" checked="Checked" fmlaLink="controls!$B$5" lockText="1" noThreeD="1"/>
</file>

<file path=xl/ctrlProps/ctrlProp5.xml><?xml version="1.0" encoding="utf-8"?>
<formControlPr xmlns="http://schemas.microsoft.com/office/spreadsheetml/2009/9/main" objectType="CheckBox" checked="Checked" fmlaLink="controls!$B$6" lockText="1" noThreeD="1"/>
</file>

<file path=xl/ctrlProps/ctrlProp6.xml><?xml version="1.0" encoding="utf-8"?>
<formControlPr xmlns="http://schemas.microsoft.com/office/spreadsheetml/2009/9/main" objectType="CheckBox" checked="Checked" fmlaLink="controls!$B$7" lockText="1" noThreeD="1"/>
</file>

<file path=xl/ctrlProps/ctrlProp7.xml><?xml version="1.0" encoding="utf-8"?>
<formControlPr xmlns="http://schemas.microsoft.com/office/spreadsheetml/2009/9/main" objectType="CheckBox" checked="Checked" fmlaLink="controls!$B$8" lockText="1" noThreeD="1"/>
</file>

<file path=xl/ctrlProps/ctrlProp8.xml><?xml version="1.0" encoding="utf-8"?>
<formControlPr xmlns="http://schemas.microsoft.com/office/spreadsheetml/2009/9/main" objectType="CheckBox" checked="Checked" fmlaLink="controls!$B$10" lockText="1" noThreeD="1"/>
</file>

<file path=xl/ctrlProps/ctrlProp9.xml><?xml version="1.0" encoding="utf-8"?>
<formControlPr xmlns="http://schemas.microsoft.com/office/spreadsheetml/2009/9/main" objectType="CheckBox" checked="Checked" fmlaLink="controls!$B$11"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110063</xdr:colOff>
      <xdr:row>0</xdr:row>
      <xdr:rowOff>2</xdr:rowOff>
    </xdr:from>
    <xdr:to>
      <xdr:col>12</xdr:col>
      <xdr:colOff>16934</xdr:colOff>
      <xdr:row>21</xdr:row>
      <xdr:rowOff>152401</xdr:rowOff>
    </xdr:to>
    <xdr:graphicFrame macro="">
      <xdr:nvGraphicFramePr>
        <xdr:cNvPr id="2" name="Chart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220980</xdr:colOff>
          <xdr:row>8</xdr:row>
          <xdr:rowOff>182880</xdr:rowOff>
        </xdr:from>
        <xdr:to>
          <xdr:col>1</xdr:col>
          <xdr:colOff>502920</xdr:colOff>
          <xdr:row>9</xdr:row>
          <xdr:rowOff>167640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10</xdr:row>
          <xdr:rowOff>0</xdr:rowOff>
        </xdr:from>
        <xdr:to>
          <xdr:col>1</xdr:col>
          <xdr:colOff>502920</xdr:colOff>
          <xdr:row>10</xdr:row>
          <xdr:rowOff>167640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xdr:row>
          <xdr:rowOff>0</xdr:rowOff>
        </xdr:from>
        <xdr:to>
          <xdr:col>1</xdr:col>
          <xdr:colOff>502920</xdr:colOff>
          <xdr:row>11</xdr:row>
          <xdr:rowOff>167640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12</xdr:row>
          <xdr:rowOff>0</xdr:rowOff>
        </xdr:from>
        <xdr:to>
          <xdr:col>1</xdr:col>
          <xdr:colOff>502920</xdr:colOff>
          <xdr:row>12</xdr:row>
          <xdr:rowOff>167640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xdr:row>
          <xdr:rowOff>0</xdr:rowOff>
        </xdr:from>
        <xdr:to>
          <xdr:col>1</xdr:col>
          <xdr:colOff>502920</xdr:colOff>
          <xdr:row>13</xdr:row>
          <xdr:rowOff>167640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xdr:row>
          <xdr:rowOff>0</xdr:rowOff>
        </xdr:from>
        <xdr:to>
          <xdr:col>1</xdr:col>
          <xdr:colOff>502920</xdr:colOff>
          <xdr:row>14</xdr:row>
          <xdr:rowOff>167640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xdr:row>
          <xdr:rowOff>0</xdr:rowOff>
        </xdr:from>
        <xdr:to>
          <xdr:col>1</xdr:col>
          <xdr:colOff>502920</xdr:colOff>
          <xdr:row>15</xdr:row>
          <xdr:rowOff>167640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xdr:row>
          <xdr:rowOff>0</xdr:rowOff>
        </xdr:from>
        <xdr:to>
          <xdr:col>1</xdr:col>
          <xdr:colOff>502920</xdr:colOff>
          <xdr:row>17</xdr:row>
          <xdr:rowOff>167640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xdr:row>
          <xdr:rowOff>0</xdr:rowOff>
        </xdr:from>
        <xdr:to>
          <xdr:col>1</xdr:col>
          <xdr:colOff>502920</xdr:colOff>
          <xdr:row>18</xdr:row>
          <xdr:rowOff>167640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1117599</xdr:colOff>
      <xdr:row>17</xdr:row>
      <xdr:rowOff>143933</xdr:rowOff>
    </xdr:from>
    <xdr:ext cx="164141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669866" y="2954866"/>
          <a:ext cx="164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1"/>
              </a:solidFill>
            </a:rPr>
            <a:t>Unabated GHG emissions</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662940</xdr:colOff>
          <xdr:row>5</xdr:row>
          <xdr:rowOff>15240</xdr:rowOff>
        </xdr:from>
        <xdr:to>
          <xdr:col>2</xdr:col>
          <xdr:colOff>960120</xdr:colOff>
          <xdr:row>5</xdr:row>
          <xdr:rowOff>182880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662940</xdr:colOff>
          <xdr:row>6</xdr:row>
          <xdr:rowOff>7620</xdr:rowOff>
        </xdr:from>
        <xdr:to>
          <xdr:col>2</xdr:col>
          <xdr:colOff>960120</xdr:colOff>
          <xdr:row>6</xdr:row>
          <xdr:rowOff>175260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662940</xdr:colOff>
          <xdr:row>6</xdr:row>
          <xdr:rowOff>99060</xdr:rowOff>
        </xdr:from>
        <xdr:to>
          <xdr:col>2</xdr:col>
          <xdr:colOff>929640</xdr:colOff>
          <xdr:row>8</xdr:row>
          <xdr:rowOff>91440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8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472440</xdr:colOff>
          <xdr:row>9</xdr:row>
          <xdr:rowOff>15240</xdr:rowOff>
        </xdr:from>
        <xdr:to>
          <xdr:col>2</xdr:col>
          <xdr:colOff>762000</xdr:colOff>
          <xdr:row>10</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472440</xdr:colOff>
          <xdr:row>10</xdr:row>
          <xdr:rowOff>15240</xdr:rowOff>
        </xdr:from>
        <xdr:to>
          <xdr:col>2</xdr:col>
          <xdr:colOff>762000</xdr:colOff>
          <xdr:row>10</xdr:row>
          <xdr:rowOff>182880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472440</xdr:colOff>
          <xdr:row>11</xdr:row>
          <xdr:rowOff>15240</xdr:rowOff>
        </xdr:from>
        <xdr:to>
          <xdr:col>2</xdr:col>
          <xdr:colOff>762000</xdr:colOff>
          <xdr:row>12</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A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678180</xdr:colOff>
          <xdr:row>12</xdr:row>
          <xdr:rowOff>15240</xdr:rowOff>
        </xdr:from>
        <xdr:to>
          <xdr:col>2</xdr:col>
          <xdr:colOff>967740</xdr:colOff>
          <xdr:row>13</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B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13</xdr:row>
          <xdr:rowOff>15240</xdr:rowOff>
        </xdr:from>
        <xdr:to>
          <xdr:col>2</xdr:col>
          <xdr:colOff>967740</xdr:colOff>
          <xdr:row>14</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B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14</xdr:row>
          <xdr:rowOff>15240</xdr:rowOff>
        </xdr:from>
        <xdr:to>
          <xdr:col>2</xdr:col>
          <xdr:colOff>967740</xdr:colOff>
          <xdr:row>15</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B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ruce Mast" id="{2C13BA87-BF8C-4942-80D5-0C65B34A7481}" userId="258650c5a9867187"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8A0ECC-472E-4E64-9C09-50C6428A3DCA}" name="Table1" displayName="Table1" ref="B1:B23" totalsRowShown="0" headerRowDxfId="1">
  <autoFilter ref="B1:B23" xr:uid="{B45971CA-B052-43DF-99DA-58CCD27A2D63}"/>
  <tableColumns count="1">
    <tableColumn id="1" xr3:uid="{03630B61-7628-49EE-9A84-F2C52778E06D}" name="City" dataDxfId="0">
      <calculatedColumnFormula>IF(NOT(ISBLANK(HLOOKUP($C$2,$D$1:$L$23,A2,FALSE))),HLOOKUP($C$2,$D$1:$L$23,A2,FALSE),"")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0-07-04T20:46:06.10" personId="{2C13BA87-BF8C-4942-80D5-0C65B34A7481}" id="{F9CF6526-8412-4E76-9BDF-60E114648321}">
    <text>2 or more space heating break downs in prior 3 months</text>
  </threadedComment>
  <threadedComment ref="A32" dT="2021-06-02T16:52:08.47" personId="{2C13BA87-BF8C-4942-80D5-0C65B34A7481}" id="{B2DDFE89-72CA-4CEC-A128-A4AA955588AE}">
    <text>With fuses or breakers blown in last 3 months          </text>
  </threadedComment>
  <threadedComment ref="A37" dT="2020-07-04T20:46:06.10" personId="{2C13BA87-BF8C-4942-80D5-0C65B34A7481}" id="{3CE4F84B-A184-4DAB-A104-C8F7BF7E28BD}">
    <text>space heating equipment break downs</text>
  </threadedComment>
  <threadedComment ref="A39" dT="2021-06-02T16:52:08.47" personId="{2C13BA87-BF8C-4942-80D5-0C65B34A7481}" id="{A1527BB9-8468-41A4-A4FD-333F85933B88}">
    <text>With fuses or breakers blown in last 3 months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8" Type="http://schemas.openxmlformats.org/officeDocument/2006/relationships/hyperlink" Target="https://www.mcecleanenergy.org/wp-content/uploads/2020/10/MCE-2019-Power-Content-Label.pdf" TargetMode="External"/><Relationship Id="rId13" Type="http://schemas.openxmlformats.org/officeDocument/2006/relationships/hyperlink" Target="https://sonomacleanpower.org/uploads/documents/Power-Content-Label-2019-Web.pdf" TargetMode="External"/><Relationship Id="rId3" Type="http://schemas.openxmlformats.org/officeDocument/2006/relationships/hyperlink" Target="https://www.cityofpaloalto.org/Departments/Utilities/Sustainability/Carbon-Neutral-Electricity-and-Natural-Gas/Power-Content-Label" TargetMode="External"/><Relationship Id="rId7" Type="http://schemas.openxmlformats.org/officeDocument/2006/relationships/hyperlink" Target="https://www.ci.healdsburg.ca.us/231/Power-Content-Label-and-Energy-Mix" TargetMode="External"/><Relationship Id="rId12" Type="http://schemas.openxmlformats.org/officeDocument/2006/relationships/hyperlink" Target="https://www.svcleanenergy.org/wp-content/uploads/2020/02/Power-Content-Label-2019-Res.pdf" TargetMode="External"/><Relationship Id="rId2" Type="http://schemas.openxmlformats.org/officeDocument/2006/relationships/hyperlink" Target="https://www.alamedamp.com/336/Power-Content-Label" TargetMode="External"/><Relationship Id="rId1" Type="http://schemas.openxmlformats.org/officeDocument/2006/relationships/hyperlink" Target="http://www.pgecorp.com/corp_responsibility/reports/2019/en02_climate_change.html" TargetMode="External"/><Relationship Id="rId6" Type="http://schemas.openxmlformats.org/officeDocument/2006/relationships/hyperlink" Target="https://ebce.org/our-power-mix/" TargetMode="External"/><Relationship Id="rId11" Type="http://schemas.openxmlformats.org/officeDocument/2006/relationships/hyperlink" Target="https://www.siliconvalleypower.com/svp-and-community/about-svp/power-content-label" TargetMode="External"/><Relationship Id="rId5" Type="http://schemas.openxmlformats.org/officeDocument/2006/relationships/hyperlink" Target="https://www.cleanpowersf.org/energysources" TargetMode="External"/><Relationship Id="rId10" Type="http://schemas.openxmlformats.org/officeDocument/2006/relationships/hyperlink" Target="https://sanjosecleanenergy.org/wp-content/uploads/2020/12/2019-Power-Content-Label-San-Jose-Clean-Energy-SJCE.pdf" TargetMode="External"/><Relationship Id="rId4" Type="http://schemas.openxmlformats.org/officeDocument/2006/relationships/hyperlink" Target="https://www.eia.gov/tools/faqs/faq.php?id=74&amp;t=11" TargetMode="External"/><Relationship Id="rId9" Type="http://schemas.openxmlformats.org/officeDocument/2006/relationships/hyperlink" Target="https://www.peninsulacleanenergy.com/power-mix/" TargetMode="External"/><Relationship Id="rId14"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42B4-3399-4460-935A-39A775BDCC48}">
  <dimension ref="A1:B46"/>
  <sheetViews>
    <sheetView workbookViewId="0">
      <selection activeCell="A14" sqref="A14"/>
    </sheetView>
  </sheetViews>
  <sheetFormatPr defaultRowHeight="14.4" x14ac:dyDescent="0.3"/>
  <cols>
    <col min="1" max="1" width="109.5546875" style="13" bestFit="1" customWidth="1"/>
    <col min="2" max="2" width="10.109375" bestFit="1" customWidth="1"/>
  </cols>
  <sheetData>
    <row r="1" spans="1:2" x14ac:dyDescent="0.3">
      <c r="A1" s="16" t="s">
        <v>601</v>
      </c>
      <c r="B1" s="1" t="s">
        <v>600</v>
      </c>
    </row>
    <row r="2" spans="1:2" x14ac:dyDescent="0.3">
      <c r="A2" s="13" t="s">
        <v>602</v>
      </c>
    </row>
    <row r="3" spans="1:2" x14ac:dyDescent="0.3">
      <c r="A3" s="16" t="s">
        <v>609</v>
      </c>
      <c r="B3" s="1" t="s">
        <v>610</v>
      </c>
    </row>
    <row r="4" spans="1:2" x14ac:dyDescent="0.3">
      <c r="A4" s="13" t="s">
        <v>603</v>
      </c>
    </row>
    <row r="5" spans="1:2" x14ac:dyDescent="0.3">
      <c r="A5" s="522" t="s">
        <v>605</v>
      </c>
    </row>
    <row r="6" spans="1:2" x14ac:dyDescent="0.3">
      <c r="A6" s="522" t="s">
        <v>604</v>
      </c>
    </row>
    <row r="7" spans="1:2" x14ac:dyDescent="0.3">
      <c r="A7" s="522" t="s">
        <v>606</v>
      </c>
    </row>
    <row r="8" spans="1:2" s="82" customFormat="1" x14ac:dyDescent="0.3">
      <c r="A8" s="522" t="s">
        <v>613</v>
      </c>
    </row>
    <row r="9" spans="1:2" s="82" customFormat="1" x14ac:dyDescent="0.3">
      <c r="A9" s="522" t="s">
        <v>612</v>
      </c>
    </row>
    <row r="10" spans="1:2" s="82" customFormat="1" x14ac:dyDescent="0.3">
      <c r="A10" s="522" t="s">
        <v>614</v>
      </c>
    </row>
    <row r="11" spans="1:2" x14ac:dyDescent="0.3">
      <c r="A11" s="522" t="s">
        <v>607</v>
      </c>
    </row>
    <row r="12" spans="1:2" s="82" customFormat="1" x14ac:dyDescent="0.3">
      <c r="A12" s="522" t="s">
        <v>611</v>
      </c>
    </row>
    <row r="13" spans="1:2" x14ac:dyDescent="0.3">
      <c r="A13" s="522" t="s">
        <v>608</v>
      </c>
    </row>
    <row r="14" spans="1:2" x14ac:dyDescent="0.3">
      <c r="A14" s="522" t="s">
        <v>615</v>
      </c>
    </row>
    <row r="15" spans="1:2" x14ac:dyDescent="0.3">
      <c r="A15" s="522" t="s">
        <v>616</v>
      </c>
    </row>
    <row r="16" spans="1:2" x14ac:dyDescent="0.3">
      <c r="A16" s="522" t="s">
        <v>617</v>
      </c>
    </row>
    <row r="17" spans="1:2" ht="43.2" x14ac:dyDescent="0.3">
      <c r="A17" s="522" t="s">
        <v>623</v>
      </c>
    </row>
    <row r="18" spans="1:2" ht="43.2" x14ac:dyDescent="0.3">
      <c r="A18" s="522" t="s">
        <v>624</v>
      </c>
    </row>
    <row r="19" spans="1:2" ht="43.2" x14ac:dyDescent="0.3">
      <c r="A19" s="522" t="s">
        <v>626</v>
      </c>
    </row>
    <row r="20" spans="1:2" ht="43.2" x14ac:dyDescent="0.3">
      <c r="A20" s="522" t="s">
        <v>625</v>
      </c>
    </row>
    <row r="21" spans="1:2" x14ac:dyDescent="0.3">
      <c r="A21" s="16" t="s">
        <v>627</v>
      </c>
      <c r="B21" s="1" t="s">
        <v>628</v>
      </c>
    </row>
    <row r="22" spans="1:2" ht="28.8" x14ac:dyDescent="0.3">
      <c r="A22" s="522" t="s">
        <v>629</v>
      </c>
    </row>
    <row r="23" spans="1:2" ht="28.8" x14ac:dyDescent="0.3">
      <c r="A23" s="522" t="s">
        <v>630</v>
      </c>
    </row>
    <row r="24" spans="1:2" ht="28.8" x14ac:dyDescent="0.3">
      <c r="A24" s="522" t="s">
        <v>631</v>
      </c>
    </row>
    <row r="25" spans="1:2" x14ac:dyDescent="0.3">
      <c r="A25" s="16" t="s">
        <v>642</v>
      </c>
      <c r="B25" s="1" t="s">
        <v>632</v>
      </c>
    </row>
    <row r="26" spans="1:2" ht="28.8" x14ac:dyDescent="0.3">
      <c r="A26" s="522" t="s">
        <v>645</v>
      </c>
    </row>
    <row r="27" spans="1:2" ht="28.8" x14ac:dyDescent="0.3">
      <c r="A27" s="522" t="s">
        <v>646</v>
      </c>
    </row>
    <row r="28" spans="1:2" ht="28.8" x14ac:dyDescent="0.3">
      <c r="A28" s="13" t="s">
        <v>643</v>
      </c>
    </row>
    <row r="29" spans="1:2" x14ac:dyDescent="0.3">
      <c r="A29" s="523" t="s">
        <v>640</v>
      </c>
    </row>
    <row r="30" spans="1:2" x14ac:dyDescent="0.3">
      <c r="A30" s="523" t="s">
        <v>641</v>
      </c>
    </row>
    <row r="31" spans="1:2" x14ac:dyDescent="0.3">
      <c r="A31" s="523" t="s">
        <v>633</v>
      </c>
    </row>
    <row r="32" spans="1:2" x14ac:dyDescent="0.3">
      <c r="A32" s="523" t="s">
        <v>634</v>
      </c>
    </row>
    <row r="33" spans="1:2" x14ac:dyDescent="0.3">
      <c r="A33" s="523" t="s">
        <v>638</v>
      </c>
    </row>
    <row r="34" spans="1:2" x14ac:dyDescent="0.3">
      <c r="A34" s="523" t="s">
        <v>635</v>
      </c>
    </row>
    <row r="35" spans="1:2" x14ac:dyDescent="0.3">
      <c r="A35" s="523" t="s">
        <v>636</v>
      </c>
    </row>
    <row r="36" spans="1:2" x14ac:dyDescent="0.3">
      <c r="A36" s="523" t="s">
        <v>637</v>
      </c>
    </row>
    <row r="37" spans="1:2" x14ac:dyDescent="0.3">
      <c r="A37" s="523" t="s">
        <v>639</v>
      </c>
    </row>
    <row r="38" spans="1:2" ht="28.8" x14ac:dyDescent="0.3">
      <c r="A38" s="13" t="s">
        <v>647</v>
      </c>
    </row>
    <row r="40" spans="1:2" x14ac:dyDescent="0.3">
      <c r="A40" s="531" t="s">
        <v>675</v>
      </c>
      <c r="B40" s="1" t="s">
        <v>658</v>
      </c>
    </row>
    <row r="41" spans="1:2" x14ac:dyDescent="0.3">
      <c r="A41" s="13" t="s">
        <v>657</v>
      </c>
    </row>
    <row r="42" spans="1:2" ht="43.2" x14ac:dyDescent="0.3">
      <c r="A42" s="13" t="s">
        <v>659</v>
      </c>
    </row>
    <row r="43" spans="1:2" ht="43.2" x14ac:dyDescent="0.3">
      <c r="A43" s="13" t="s">
        <v>660</v>
      </c>
    </row>
    <row r="44" spans="1:2" x14ac:dyDescent="0.3">
      <c r="A44" s="13" t="s">
        <v>665</v>
      </c>
    </row>
    <row r="45" spans="1:2" ht="28.8" x14ac:dyDescent="0.3">
      <c r="A45" s="13" t="s">
        <v>668</v>
      </c>
    </row>
    <row r="46" spans="1:2" x14ac:dyDescent="0.3">
      <c r="A46" s="522" t="s">
        <v>674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A98E6-3B8D-44DB-921E-0B15007D7BD3}">
  <sheetPr codeName="Sheet3"/>
  <dimension ref="A1:B28"/>
  <sheetViews>
    <sheetView workbookViewId="0">
      <selection activeCell="A26" sqref="A26:XFD26"/>
    </sheetView>
  </sheetViews>
  <sheetFormatPr defaultRowHeight="14.4" x14ac:dyDescent="0.3"/>
  <cols>
    <col min="1" max="1" width="48.44140625" bestFit="1" customWidth="1"/>
  </cols>
  <sheetData>
    <row r="1" spans="1:2" s="82" customFormat="1" x14ac:dyDescent="0.3">
      <c r="A1" s="1" t="s">
        <v>7</v>
      </c>
    </row>
    <row r="2" spans="1:2" x14ac:dyDescent="0.3">
      <c r="A2" s="22" t="s">
        <v>30</v>
      </c>
      <c r="B2" s="41" t="b">
        <v>1</v>
      </c>
    </row>
    <row r="3" spans="1:2" x14ac:dyDescent="0.3">
      <c r="A3" s="96" t="s">
        <v>31</v>
      </c>
      <c r="B3" s="41" t="b">
        <v>1</v>
      </c>
    </row>
    <row r="4" spans="1:2" x14ac:dyDescent="0.3">
      <c r="A4" s="96" t="s">
        <v>32</v>
      </c>
      <c r="B4" s="41" t="b">
        <v>1</v>
      </c>
    </row>
    <row r="5" spans="1:2" x14ac:dyDescent="0.3">
      <c r="A5" s="96" t="s">
        <v>33</v>
      </c>
      <c r="B5" s="41" t="b">
        <v>1</v>
      </c>
    </row>
    <row r="6" spans="1:2" x14ac:dyDescent="0.3">
      <c r="A6" s="96" t="s">
        <v>34</v>
      </c>
      <c r="B6" s="41" t="b">
        <v>1</v>
      </c>
    </row>
    <row r="7" spans="1:2" x14ac:dyDescent="0.3">
      <c r="A7" s="22" t="s">
        <v>35</v>
      </c>
      <c r="B7" s="41" t="b">
        <v>1</v>
      </c>
    </row>
    <row r="8" spans="1:2" x14ac:dyDescent="0.3">
      <c r="A8" s="79" t="s">
        <v>36</v>
      </c>
      <c r="B8" s="41" t="b">
        <v>1</v>
      </c>
    </row>
    <row r="10" spans="1:2" x14ac:dyDescent="0.3">
      <c r="A10" s="110" t="s">
        <v>37</v>
      </c>
      <c r="B10" s="41" t="b">
        <v>1</v>
      </c>
    </row>
    <row r="11" spans="1:2" x14ac:dyDescent="0.3">
      <c r="A11" s="110" t="s">
        <v>38</v>
      </c>
      <c r="B11" s="41" t="b">
        <v>1</v>
      </c>
    </row>
    <row r="13" spans="1:2" x14ac:dyDescent="0.3">
      <c r="A13" s="111" t="s">
        <v>171</v>
      </c>
      <c r="B13" s="82"/>
    </row>
    <row r="14" spans="1:2" x14ac:dyDescent="0.3">
      <c r="A14" s="12" t="s">
        <v>168</v>
      </c>
      <c r="B14" s="7" t="b">
        <v>1</v>
      </c>
    </row>
    <row r="15" spans="1:2" x14ac:dyDescent="0.3">
      <c r="A15" s="12" t="s">
        <v>516</v>
      </c>
      <c r="B15" s="7" t="b">
        <v>1</v>
      </c>
    </row>
    <row r="16" spans="1:2" x14ac:dyDescent="0.3">
      <c r="A16" s="12" t="s">
        <v>515</v>
      </c>
      <c r="B16" s="7" t="b">
        <v>1</v>
      </c>
    </row>
    <row r="18" spans="1:2" x14ac:dyDescent="0.3">
      <c r="A18" s="111" t="s">
        <v>254</v>
      </c>
      <c r="B18" s="82"/>
    </row>
    <row r="19" spans="1:2" s="82" customFormat="1" x14ac:dyDescent="0.3">
      <c r="A19" s="189" t="s">
        <v>447</v>
      </c>
      <c r="B19" s="82" t="b">
        <v>1</v>
      </c>
    </row>
    <row r="20" spans="1:2" x14ac:dyDescent="0.3">
      <c r="A20" s="12" t="s">
        <v>168</v>
      </c>
      <c r="B20" s="7" t="b">
        <v>1</v>
      </c>
    </row>
    <row r="21" spans="1:2" x14ac:dyDescent="0.3">
      <c r="A21" s="12" t="s">
        <v>169</v>
      </c>
      <c r="B21" s="7" t="b">
        <v>1</v>
      </c>
    </row>
    <row r="22" spans="1:2" x14ac:dyDescent="0.3">
      <c r="A22" s="8" t="s">
        <v>214</v>
      </c>
      <c r="B22" s="7" t="b">
        <v>1</v>
      </c>
    </row>
    <row r="24" spans="1:2" x14ac:dyDescent="0.3">
      <c r="A24" s="111" t="s">
        <v>559</v>
      </c>
    </row>
    <row r="25" spans="1:2" x14ac:dyDescent="0.3">
      <c r="A25" s="189" t="s">
        <v>447</v>
      </c>
      <c r="B25" s="82" t="b">
        <v>1</v>
      </c>
    </row>
    <row r="26" spans="1:2" x14ac:dyDescent="0.3">
      <c r="A26" s="12" t="s">
        <v>168</v>
      </c>
      <c r="B26" s="234" t="b">
        <v>0</v>
      </c>
    </row>
    <row r="27" spans="1:2" x14ac:dyDescent="0.3">
      <c r="A27" s="12" t="s">
        <v>169</v>
      </c>
      <c r="B27" s="234" t="b">
        <v>0</v>
      </c>
    </row>
    <row r="28" spans="1:2" x14ac:dyDescent="0.3">
      <c r="A28" s="8" t="s">
        <v>214</v>
      </c>
      <c r="B28" s="234" t="b">
        <v>0</v>
      </c>
    </row>
  </sheetData>
  <hyperlinks>
    <hyperlink ref="A3" location="'code compliance'!A1" display="1 - Code Compliance" xr:uid="{F63E92A1-BB9D-42FC-AD98-DC4364B79695}"/>
    <hyperlink ref="A4" location="'energy assessment'!A1" display="2- Energy Assessment &amp; Disclosure" xr:uid="{CD746D3D-B91E-4648-A5D9-23CDD0FA3247}"/>
    <hyperlink ref="A5" location="'time of replacement'!A1" display="3- Upgrade @ Time of Equipment Replacement" xr:uid="{28067281-361A-4D4B-AC2E-255D03FC6135}"/>
    <hyperlink ref="A6" location="'time of renovation'!A1" display="4- Upgrade @ Time of Major Renovation" xr:uid="{D5E1F767-A8D1-4F95-9BD8-9202ED7CA5A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B308-D313-414D-899D-DC8524BCB69A}">
  <sheetPr codeName="Sheet11"/>
  <dimension ref="A1:BH65"/>
  <sheetViews>
    <sheetView zoomScale="90" zoomScaleNormal="90" workbookViewId="0">
      <selection activeCell="D29" sqref="D29"/>
    </sheetView>
  </sheetViews>
  <sheetFormatPr defaultRowHeight="14.4" x14ac:dyDescent="0.3"/>
  <cols>
    <col min="1" max="1" width="4.44140625" style="257" customWidth="1"/>
    <col min="2" max="2" width="54.88671875" style="257" bestFit="1" customWidth="1"/>
    <col min="3" max="3" width="17.44140625" style="257" customWidth="1"/>
    <col min="4" max="4" width="10.77734375" style="257" customWidth="1"/>
    <col min="5" max="5" width="14.6640625" style="257" customWidth="1"/>
    <col min="6" max="6" width="20.6640625" style="257" customWidth="1"/>
    <col min="7" max="7" width="15.109375" style="257" customWidth="1"/>
    <col min="8" max="8" width="14.44140625" style="257" customWidth="1"/>
    <col min="9" max="9" width="13.6640625" style="257" customWidth="1"/>
    <col min="10" max="10" width="11.5546875" style="257" customWidth="1"/>
    <col min="11" max="11" width="13.6640625" style="257" customWidth="1"/>
    <col min="12" max="12" width="11.5546875" style="257" customWidth="1"/>
    <col min="13" max="13" width="8.88671875" style="257"/>
    <col min="14" max="14" width="11" style="257" bestFit="1" customWidth="1"/>
    <col min="15" max="25" width="11" style="257" customWidth="1"/>
    <col min="26" max="32" width="10" style="257" customWidth="1"/>
    <col min="33" max="35" width="9.44140625" style="257" bestFit="1" customWidth="1"/>
    <col min="36" max="36" width="9.44140625" style="257" customWidth="1"/>
    <col min="37" max="46" width="9.44140625" style="257" bestFit="1" customWidth="1"/>
    <col min="47" max="47" width="11.88671875" style="257" bestFit="1" customWidth="1"/>
    <col min="48" max="48" width="12.77734375" style="257" bestFit="1" customWidth="1"/>
    <col min="49" max="49" width="11.6640625" style="257" bestFit="1" customWidth="1"/>
    <col min="50" max="50" width="11.109375" style="257" bestFit="1" customWidth="1"/>
    <col min="51" max="52" width="8.88671875" style="257"/>
    <col min="53" max="53" width="9.44140625" style="257" bestFit="1" customWidth="1"/>
    <col min="54" max="54" width="10" style="257" bestFit="1" customWidth="1"/>
    <col min="55" max="55" width="10" style="257" customWidth="1"/>
    <col min="56" max="57" width="9.44140625" style="257" customWidth="1"/>
    <col min="58" max="16384" width="8.88671875" style="257"/>
  </cols>
  <sheetData>
    <row r="1" spans="1:8" ht="18" x14ac:dyDescent="0.35">
      <c r="B1" s="584" t="str">
        <f>CONCATENATE("Time of Renovation Inputs for ",'Policy Impact Dashboard'!$B$5,", ",'Policy Impact Dashboard'!$B$4," County")</f>
        <v>Time of Renovation Inputs for z-All Alameda, Alameda County</v>
      </c>
      <c r="C1" s="584"/>
      <c r="E1" s="261"/>
      <c r="F1" s="256"/>
      <c r="G1" s="255"/>
    </row>
    <row r="2" spans="1:8" ht="25.2" customHeight="1" x14ac:dyDescent="0.3">
      <c r="B2" s="585" t="s">
        <v>134</v>
      </c>
      <c r="C2" s="585"/>
      <c r="G2" s="255"/>
    </row>
    <row r="3" spans="1:8" ht="114" customHeight="1" x14ac:dyDescent="0.3">
      <c r="A3" s="261"/>
      <c r="B3" s="595" t="s">
        <v>563</v>
      </c>
      <c r="C3" s="615"/>
      <c r="D3" s="615"/>
      <c r="E3" s="616"/>
      <c r="G3" s="255"/>
    </row>
    <row r="4" spans="1:8" ht="16.8" customHeight="1" thickBot="1" x14ac:dyDescent="0.35">
      <c r="A4" s="261"/>
      <c r="B4" s="397"/>
      <c r="C4" s="398"/>
      <c r="D4" s="261"/>
      <c r="E4" s="331"/>
      <c r="F4" s="331"/>
      <c r="G4" s="259"/>
      <c r="H4" s="331"/>
    </row>
    <row r="5" spans="1:8" x14ac:dyDescent="0.3">
      <c r="A5" s="261"/>
      <c r="B5" s="399" t="s">
        <v>518</v>
      </c>
      <c r="C5" s="400">
        <f>IF(G11=0,'Housing Stock Profile'!D19,G11)</f>
        <v>900</v>
      </c>
      <c r="D5" s="401"/>
      <c r="E5" s="617" t="s">
        <v>586</v>
      </c>
      <c r="F5" s="618"/>
      <c r="G5" s="619"/>
      <c r="H5" s="261"/>
    </row>
    <row r="6" spans="1:8" ht="15" thickBot="1" x14ac:dyDescent="0.35">
      <c r="A6" s="261"/>
      <c r="B6" s="370" t="s">
        <v>508</v>
      </c>
      <c r="C6" s="363">
        <v>400</v>
      </c>
      <c r="D6" s="401"/>
      <c r="E6" s="620" t="s">
        <v>564</v>
      </c>
      <c r="F6" s="621"/>
      <c r="G6" s="447" t="s">
        <v>587</v>
      </c>
      <c r="H6" s="261"/>
    </row>
    <row r="7" spans="1:8" ht="15" thickBot="1" x14ac:dyDescent="0.35">
      <c r="A7" s="261"/>
      <c r="B7" s="272"/>
      <c r="C7" s="272"/>
      <c r="D7" s="401"/>
      <c r="E7" s="620" t="s">
        <v>565</v>
      </c>
      <c r="F7" s="621"/>
      <c r="G7" s="524">
        <v>25000</v>
      </c>
      <c r="H7" s="261"/>
    </row>
    <row r="8" spans="1:8" x14ac:dyDescent="0.3">
      <c r="B8" s="611" t="s">
        <v>446</v>
      </c>
      <c r="C8" s="612"/>
      <c r="D8" s="255"/>
      <c r="E8" s="620" t="s">
        <v>566</v>
      </c>
      <c r="F8" s="621"/>
      <c r="G8" s="448">
        <v>10000</v>
      </c>
      <c r="H8" s="261"/>
    </row>
    <row r="9" spans="1:8" x14ac:dyDescent="0.3">
      <c r="A9" s="261"/>
      <c r="B9" s="402" t="s">
        <v>138</v>
      </c>
      <c r="C9" s="450">
        <v>0.15</v>
      </c>
      <c r="D9" s="401"/>
      <c r="E9" s="620" t="s">
        <v>567</v>
      </c>
      <c r="F9" s="621"/>
      <c r="G9" s="449">
        <v>0.1</v>
      </c>
      <c r="H9" s="261"/>
    </row>
    <row r="10" spans="1:8" x14ac:dyDescent="0.3">
      <c r="A10" s="261"/>
      <c r="B10" s="262" t="s">
        <v>448</v>
      </c>
      <c r="C10" s="451"/>
      <c r="D10" s="258"/>
      <c r="E10" s="620" t="s">
        <v>574</v>
      </c>
      <c r="F10" s="621"/>
      <c r="G10" s="449">
        <v>0.1</v>
      </c>
      <c r="H10" s="403"/>
    </row>
    <row r="11" spans="1:8" ht="15" thickBot="1" x14ac:dyDescent="0.35">
      <c r="A11" s="261"/>
      <c r="B11" s="262" t="s">
        <v>517</v>
      </c>
      <c r="C11" s="451"/>
      <c r="D11" s="258"/>
      <c r="E11" s="404" t="s">
        <v>568</v>
      </c>
      <c r="F11" s="405"/>
      <c r="G11" s="406">
        <f>G9*G8*(1-G10)</f>
        <v>900</v>
      </c>
      <c r="H11" s="261"/>
    </row>
    <row r="12" spans="1:8" x14ac:dyDescent="0.3">
      <c r="A12" s="261"/>
      <c r="B12" s="262" t="s">
        <v>449</v>
      </c>
      <c r="C12" s="451"/>
      <c r="D12" s="261"/>
      <c r="E12" s="272"/>
      <c r="F12" s="272"/>
      <c r="G12" s="407"/>
    </row>
    <row r="13" spans="1:8" x14ac:dyDescent="0.3">
      <c r="A13" s="261"/>
      <c r="B13" s="613" t="s">
        <v>514</v>
      </c>
      <c r="C13" s="614"/>
      <c r="D13" s="261"/>
      <c r="G13" s="261"/>
    </row>
    <row r="14" spans="1:8" x14ac:dyDescent="0.3">
      <c r="A14" s="258"/>
      <c r="B14" s="302" t="s">
        <v>661</v>
      </c>
      <c r="C14" s="450"/>
      <c r="D14" s="261"/>
      <c r="F14" s="408"/>
    </row>
    <row r="15" spans="1:8" x14ac:dyDescent="0.3">
      <c r="A15" s="261"/>
      <c r="B15" s="302" t="s">
        <v>663</v>
      </c>
      <c r="C15" s="450"/>
      <c r="D15" s="261"/>
    </row>
    <row r="16" spans="1:8" ht="15" thickBot="1" x14ac:dyDescent="0.35">
      <c r="A16" s="261"/>
      <c r="B16" s="409" t="s">
        <v>592</v>
      </c>
      <c r="C16" s="452"/>
      <c r="D16" s="261"/>
    </row>
    <row r="17" spans="1:60" ht="15" thickBot="1" x14ac:dyDescent="0.35">
      <c r="A17" s="261"/>
      <c r="B17" s="272"/>
      <c r="C17" s="272"/>
    </row>
    <row r="18" spans="1:60" x14ac:dyDescent="0.3">
      <c r="B18" s="410" t="s">
        <v>215</v>
      </c>
      <c r="C18" s="411" t="s">
        <v>59</v>
      </c>
      <c r="D18" s="412"/>
      <c r="E18" s="413"/>
      <c r="F18" s="408"/>
    </row>
    <row r="19" spans="1:60" x14ac:dyDescent="0.3">
      <c r="A19" s="258"/>
      <c r="B19" s="414" t="s">
        <v>145</v>
      </c>
      <c r="C19" s="415">
        <f>C5</f>
        <v>900</v>
      </c>
      <c r="D19" s="416"/>
      <c r="E19" s="417"/>
      <c r="F19" s="261"/>
    </row>
    <row r="20" spans="1:60" x14ac:dyDescent="0.3">
      <c r="A20" s="261"/>
      <c r="B20" s="376" t="s">
        <v>175</v>
      </c>
      <c r="C20" s="418">
        <f>'Policy Impact Dashboard'!$E$14*C19*(controls!$B$6)</f>
        <v>900</v>
      </c>
      <c r="D20" s="416"/>
      <c r="E20" s="417"/>
      <c r="F20" s="261"/>
    </row>
    <row r="21" spans="1:60" ht="15" thickBot="1" x14ac:dyDescent="0.35">
      <c r="A21" s="261"/>
      <c r="B21" s="419" t="s">
        <v>176</v>
      </c>
      <c r="C21" s="420">
        <f>C20*$C$6</f>
        <v>360000</v>
      </c>
      <c r="D21" s="421"/>
      <c r="E21" s="422"/>
      <c r="F21" s="261"/>
    </row>
    <row r="22" spans="1:60" ht="28.8" x14ac:dyDescent="0.3">
      <c r="A22" s="261"/>
      <c r="B22" s="423" t="s">
        <v>177</v>
      </c>
      <c r="C22" s="424"/>
      <c r="D22" s="425" t="s">
        <v>454</v>
      </c>
      <c r="E22" s="426" t="s">
        <v>455</v>
      </c>
      <c r="F22" s="261"/>
    </row>
    <row r="23" spans="1:60" x14ac:dyDescent="0.3">
      <c r="A23" s="258"/>
      <c r="B23" s="381" t="s">
        <v>178</v>
      </c>
      <c r="C23" s="427">
        <f t="shared" ref="C23:E24" si="0">IFERROR(1000*C27/AVERAGEIF($A$33:$A$58,"&gt;0",$F$33:$F$58),0)</f>
        <v>-90.412286412638096</v>
      </c>
      <c r="D23" s="428">
        <f t="shared" si="0"/>
        <v>916.95550391346251</v>
      </c>
      <c r="E23" s="429">
        <f t="shared" si="0"/>
        <v>-1007.3677903261007</v>
      </c>
      <c r="F23" s="261"/>
    </row>
    <row r="24" spans="1:60" x14ac:dyDescent="0.3">
      <c r="A24" s="261"/>
      <c r="B24" s="381" t="s">
        <v>179</v>
      </c>
      <c r="C24" s="427">
        <f t="shared" si="0"/>
        <v>191.36558929906332</v>
      </c>
      <c r="D24" s="428">
        <f t="shared" si="0"/>
        <v>0</v>
      </c>
      <c r="E24" s="429">
        <f t="shared" si="0"/>
        <v>191.36558929906332</v>
      </c>
      <c r="F24" s="261"/>
      <c r="Z24" s="331"/>
      <c r="AA24" s="331"/>
      <c r="AB24" s="331"/>
      <c r="AC24" s="331"/>
      <c r="AD24" s="331"/>
      <c r="AE24" s="331"/>
      <c r="AF24" s="331"/>
      <c r="AG24" s="331"/>
      <c r="AH24" s="331"/>
      <c r="AI24" s="331"/>
      <c r="AJ24" s="331"/>
      <c r="AK24" s="331"/>
      <c r="AL24" s="331"/>
      <c r="AM24" s="331"/>
    </row>
    <row r="25" spans="1:60" x14ac:dyDescent="0.3">
      <c r="A25" s="261"/>
      <c r="B25" s="382" t="s">
        <v>180</v>
      </c>
      <c r="C25" s="427">
        <f>IFERROR(C29/AVERAGEIF($A$33:$A$58,"&gt;0",$F$33:$F$58),0)</f>
        <v>1.0087753853774817</v>
      </c>
      <c r="D25" s="428">
        <f>IFERROR(D29/AVERAGEIF($A$33:$A$58,"&gt;0",$F$33:$F$58),0)</f>
        <v>5.5397660116205519E-2</v>
      </c>
      <c r="E25" s="429">
        <f>IFERROR(E29/AVERAGEIF($A$33:$A$58,"&gt;0",$F$33:$F$58),0)</f>
        <v>0.95337772526127618</v>
      </c>
      <c r="F25" s="261"/>
      <c r="Z25" s="331"/>
      <c r="AA25" s="331"/>
      <c r="AB25" s="331"/>
      <c r="AC25" s="331"/>
      <c r="AD25" s="331"/>
      <c r="AE25" s="331"/>
      <c r="AF25" s="331"/>
      <c r="AG25" s="331"/>
      <c r="AH25" s="331"/>
      <c r="AI25" s="331"/>
      <c r="AJ25" s="331"/>
      <c r="AK25" s="331"/>
      <c r="AL25" s="331"/>
      <c r="AM25" s="331"/>
    </row>
    <row r="26" spans="1:60" x14ac:dyDescent="0.3">
      <c r="A26" s="261"/>
      <c r="B26" s="384" t="s">
        <v>152</v>
      </c>
      <c r="C26" s="430"/>
      <c r="D26" s="430"/>
      <c r="E26" s="385"/>
      <c r="F26" s="261"/>
      <c r="Z26" s="331"/>
      <c r="AA26" s="331"/>
      <c r="AB26" s="331"/>
      <c r="AC26" s="331"/>
      <c r="AD26" s="331"/>
      <c r="AE26" s="331"/>
      <c r="AF26" s="331"/>
      <c r="AG26" s="331"/>
      <c r="AH26" s="331"/>
      <c r="AI26" s="331"/>
      <c r="AJ26" s="331"/>
      <c r="AK26" s="331"/>
      <c r="AL26" s="331"/>
      <c r="AM26" s="331"/>
    </row>
    <row r="27" spans="1:60" x14ac:dyDescent="0.3">
      <c r="A27" s="258"/>
      <c r="B27" s="381" t="s">
        <v>153</v>
      </c>
      <c r="C27" s="431">
        <f>IF(TrueRenovation,IFERROR(-((SUMIF($A$33:$A$58,"&gt;0",$AV$33:$AV$58)+SUMIF($A$33:$A$58,"&gt;0",$AX$33:$AX$58))/COUNTIF($A$33:$A$58,"&gt;0"))/1000,0),0)*(ComplyRenovation-MIN(ComplyRenovation,BaseRenovation))/ComplyRenovation</f>
        <v>-77.088149652997657</v>
      </c>
      <c r="D27" s="432">
        <f>IF(TrueRenovation,IFERROR(-((SUMIF($A$33:$A$58,"&gt;0",$AV$33:$AV$58))/COUNTIF($A$33:$A$58,"&gt;0"))/1000,0),0)*(ComplyRenovation-MIN(ComplyRenovation,BaseRenovation))/ComplyRenovation</f>
        <v>781.82297910497391</v>
      </c>
      <c r="E27" s="386">
        <f>IF(TrueRenovation,IFERROR(-((SUMIF($A$33:$A$58,"&gt;0",$AX$33:$AX$58))/COUNTIF($A$33:$A$58,"&gt;0"))/1000,0),0)*(ComplyRenovation-MIN(ComplyRenovation,BaseRenovation))/ComplyRenovation</f>
        <v>-858.91112875797171</v>
      </c>
      <c r="F27" s="261"/>
      <c r="Z27" s="331"/>
      <c r="AA27" s="331"/>
      <c r="AB27" s="331"/>
      <c r="AC27" s="331"/>
      <c r="AD27" s="331"/>
      <c r="AE27" s="331"/>
      <c r="AF27" s="331"/>
      <c r="AG27" s="331"/>
      <c r="AH27" s="331"/>
      <c r="AI27" s="331"/>
      <c r="AJ27" s="331"/>
      <c r="AK27" s="331"/>
      <c r="AL27" s="331"/>
      <c r="AM27" s="331"/>
    </row>
    <row r="28" spans="1:60" x14ac:dyDescent="0.3">
      <c r="A28" s="261"/>
      <c r="B28" s="381" t="s">
        <v>154</v>
      </c>
      <c r="C28" s="431">
        <f>IF(TrueRenovation,IFERROR(-((SUMIF($A$33:$A$58,"&gt;0",$AU$33:$AU$58)+SUMIF($A$33:$A$58,"&gt;0",$AW$33:$AW$58))/COUNTIF($A$33:$A$58,"&gt;0"))/1000,0),0)*(ComplyRenovation-MIN(ComplyRenovation,BaseRenovation))/ComplyRenovation</f>
        <v>163.16387707520911</v>
      </c>
      <c r="D28" s="432">
        <f>IF(TrueRenovation,IFERROR(-((SUMIF($A$33:$A$58,"&gt;0",$AU$33:$AU$58))/COUNTIF($A$33:$A$58,"&gt;0"))/1000,0),0)*(ComplyRenovation-MIN(ComplyRenovation,BaseRenovation))/ComplyRenovation</f>
        <v>0</v>
      </c>
      <c r="E28" s="386">
        <f>IF(TrueRenovation,IFERROR(-((SUMIF($A$33:$A$58,"&gt;0",$AW$33:$AW$58))/COUNTIF($A$33:$A$58,"&gt;0"))/1000,0),0)*(ComplyRenovation-MIN(ComplyRenovation,BaseRenovation))/ComplyRenovation</f>
        <v>163.16387707520911</v>
      </c>
      <c r="F28" s="261"/>
      <c r="Z28" s="331"/>
      <c r="AA28" s="331"/>
      <c r="AB28" s="331"/>
      <c r="AC28" s="331"/>
      <c r="AD28" s="331"/>
      <c r="AE28" s="331"/>
      <c r="AF28" s="331"/>
      <c r="AG28" s="331"/>
      <c r="AH28" s="331"/>
      <c r="AI28" s="331"/>
      <c r="AJ28" s="331"/>
      <c r="AK28" s="331"/>
      <c r="AL28" s="331"/>
      <c r="AM28" s="331"/>
    </row>
    <row r="29" spans="1:60" ht="15" thickBot="1" x14ac:dyDescent="0.35">
      <c r="A29" s="261"/>
      <c r="B29" s="387" t="s">
        <v>155</v>
      </c>
      <c r="C29" s="433">
        <f>IF(TrueRenovation,IFERROR(-SUMIF($A$33:$A$58,"&gt;0",$AY$33:$AY$58)/COUNTIF($A$33:$A$58,"&gt;0"),0),0)*(ComplyRenovation-MIN(ComplyRenovation,BaseRenovation))/ComplyRenovation</f>
        <v>860.11128531054965</v>
      </c>
      <c r="D29" s="434">
        <f>IF(TrueRenovation,IFERROR(1000*GasEmissions*D28+($C$29-1000*GasEmissions*$C$28)*D27/$C27,0),0)*(ComplyRenovation-MIN(ComplyRenovation,BaseRenovation))/ComplyRenovation</f>
        <v>47.233659084491499</v>
      </c>
      <c r="E29" s="435">
        <f>IF(TrueRenovation,IFERROR(1000*GasEmissions*E28+($C$29-1000*GasEmissions*$C$28)*E27/$C27,0),0)*(ComplyRenovation-MIN(ComplyRenovation,BaseRenovation))/ComplyRenovation</f>
        <v>812.87762622605817</v>
      </c>
      <c r="F29" s="261"/>
      <c r="Z29" s="331"/>
      <c r="AA29" s="331"/>
      <c r="AB29" s="331"/>
      <c r="AC29" s="331"/>
      <c r="AD29" s="331"/>
      <c r="AE29" s="331"/>
      <c r="AF29" s="331"/>
      <c r="AG29" s="331"/>
      <c r="AH29" s="331"/>
      <c r="AI29" s="331"/>
      <c r="AJ29" s="331"/>
      <c r="AK29" s="331"/>
      <c r="AL29" s="331"/>
      <c r="AM29" s="331"/>
    </row>
    <row r="30" spans="1:60" x14ac:dyDescent="0.3">
      <c r="A30" s="261"/>
      <c r="B30" s="436"/>
      <c r="C30" s="437"/>
      <c r="D30" s="438"/>
      <c r="E30" s="438"/>
      <c r="F30" s="261"/>
      <c r="Z30" s="331"/>
      <c r="AA30" s="331"/>
      <c r="AB30" s="331"/>
      <c r="AC30" s="331"/>
      <c r="AD30" s="331"/>
      <c r="AE30" s="331"/>
      <c r="AF30" s="331"/>
      <c r="AG30" s="331"/>
      <c r="AH30" s="331"/>
      <c r="AI30" s="331"/>
      <c r="AJ30" s="331"/>
      <c r="AK30" s="331"/>
      <c r="AL30" s="331"/>
      <c r="AM30" s="331"/>
    </row>
    <row r="31" spans="1:60" hidden="1" x14ac:dyDescent="0.3">
      <c r="B31" s="271"/>
      <c r="C31" s="271"/>
      <c r="D31" s="271"/>
      <c r="E31" s="271"/>
      <c r="F31" s="331"/>
      <c r="G31" s="331"/>
      <c r="H31" s="622" t="s">
        <v>535</v>
      </c>
      <c r="I31" s="623"/>
      <c r="J31" s="623"/>
      <c r="K31" s="623"/>
      <c r="L31" s="623"/>
      <c r="M31" s="623"/>
      <c r="N31" s="623"/>
      <c r="O31" s="623"/>
      <c r="P31" s="623"/>
      <c r="Q31" s="623"/>
      <c r="R31" s="624"/>
      <c r="S31" s="588" t="s">
        <v>536</v>
      </c>
      <c r="T31" s="589"/>
      <c r="U31" s="589"/>
      <c r="V31" s="589"/>
      <c r="W31" s="589"/>
      <c r="X31" s="589"/>
      <c r="Y31" s="590"/>
      <c r="Z31" s="599" t="s">
        <v>530</v>
      </c>
      <c r="AA31" s="600"/>
      <c r="AB31" s="600"/>
      <c r="AC31" s="600"/>
      <c r="AD31" s="600"/>
      <c r="AE31" s="600"/>
      <c r="AF31" s="600"/>
      <c r="AG31" s="601" t="s">
        <v>531</v>
      </c>
      <c r="AH31" s="601"/>
      <c r="AI31" s="601"/>
      <c r="AJ31" s="601"/>
      <c r="AK31" s="601"/>
      <c r="AL31" s="601"/>
      <c r="AM31" s="602"/>
      <c r="AN31" s="439" t="s">
        <v>109</v>
      </c>
      <c r="AO31" s="439"/>
      <c r="AP31" s="439"/>
      <c r="AQ31" s="439"/>
      <c r="AR31" s="439"/>
      <c r="AS31" s="439"/>
      <c r="AT31" s="439"/>
      <c r="AU31" s="439"/>
      <c r="AV31" s="439"/>
      <c r="AW31" s="439"/>
      <c r="AX31" s="439"/>
      <c r="AY31" s="439"/>
      <c r="AZ31" s="440"/>
      <c r="BA31" s="439"/>
      <c r="BB31" s="440"/>
      <c r="BC31" s="440"/>
      <c r="BD31" s="441"/>
      <c r="BE31" s="441"/>
    </row>
    <row r="32" spans="1:60" ht="86.4" hidden="1" x14ac:dyDescent="0.3">
      <c r="B32" s="336" t="s">
        <v>110</v>
      </c>
      <c r="C32" s="336" t="s">
        <v>121</v>
      </c>
      <c r="D32" s="336" t="s">
        <v>444</v>
      </c>
      <c r="E32" s="336" t="s">
        <v>156</v>
      </c>
      <c r="F32" s="337" t="s">
        <v>183</v>
      </c>
      <c r="G32" s="337" t="s">
        <v>158</v>
      </c>
      <c r="H32" s="442" t="s">
        <v>112</v>
      </c>
      <c r="I32" s="442" t="s">
        <v>113</v>
      </c>
      <c r="J32" s="442" t="s">
        <v>114</v>
      </c>
      <c r="K32" s="442" t="s">
        <v>115</v>
      </c>
      <c r="L32" s="442" t="s">
        <v>116</v>
      </c>
      <c r="M32" s="442" t="s">
        <v>117</v>
      </c>
      <c r="N32" s="442" t="s">
        <v>118</v>
      </c>
      <c r="O32" s="442" t="s">
        <v>594</v>
      </c>
      <c r="P32" s="442" t="s">
        <v>595</v>
      </c>
      <c r="Q32" s="442" t="s">
        <v>596</v>
      </c>
      <c r="R32" s="442" t="s">
        <v>597</v>
      </c>
      <c r="S32" s="339" t="s">
        <v>470</v>
      </c>
      <c r="T32" s="339" t="s">
        <v>471</v>
      </c>
      <c r="U32" s="339" t="s">
        <v>472</v>
      </c>
      <c r="V32" s="339" t="s">
        <v>469</v>
      </c>
      <c r="W32" s="339" t="s">
        <v>473</v>
      </c>
      <c r="X32" s="339" t="s">
        <v>474</v>
      </c>
      <c r="Y32" s="339" t="s">
        <v>475</v>
      </c>
      <c r="Z32" s="391" t="s">
        <v>486</v>
      </c>
      <c r="AA32" s="391" t="s">
        <v>487</v>
      </c>
      <c r="AB32" s="391" t="s">
        <v>488</v>
      </c>
      <c r="AC32" s="391" t="s">
        <v>489</v>
      </c>
      <c r="AD32" s="391" t="s">
        <v>490</v>
      </c>
      <c r="AE32" s="391" t="s">
        <v>491</v>
      </c>
      <c r="AF32" s="391" t="s">
        <v>492</v>
      </c>
      <c r="AG32" s="392" t="s">
        <v>493</v>
      </c>
      <c r="AH32" s="392" t="s">
        <v>494</v>
      </c>
      <c r="AI32" s="392" t="s">
        <v>495</v>
      </c>
      <c r="AJ32" s="392" t="s">
        <v>496</v>
      </c>
      <c r="AK32" s="392" t="s">
        <v>497</v>
      </c>
      <c r="AL32" s="392" t="s">
        <v>498</v>
      </c>
      <c r="AM32" s="392" t="s">
        <v>499</v>
      </c>
      <c r="AN32" s="338" t="s">
        <v>88</v>
      </c>
      <c r="AO32" s="338" t="s">
        <v>89</v>
      </c>
      <c r="AP32" s="338" t="s">
        <v>90</v>
      </c>
      <c r="AQ32" s="338" t="s">
        <v>91</v>
      </c>
      <c r="AR32" s="338" t="s">
        <v>92</v>
      </c>
      <c r="AS32" s="338" t="s">
        <v>93</v>
      </c>
      <c r="AT32" s="338" t="s">
        <v>94</v>
      </c>
      <c r="AU32" s="336" t="s">
        <v>159</v>
      </c>
      <c r="AV32" s="336" t="s">
        <v>160</v>
      </c>
      <c r="AW32" s="336" t="s">
        <v>161</v>
      </c>
      <c r="AX32" s="336" t="s">
        <v>162</v>
      </c>
      <c r="AY32" s="336" t="s">
        <v>119</v>
      </c>
      <c r="AZ32" s="336" t="s">
        <v>120</v>
      </c>
      <c r="BA32" s="336" t="s">
        <v>122</v>
      </c>
      <c r="BB32" s="336" t="s">
        <v>121</v>
      </c>
      <c r="BC32" s="336" t="s">
        <v>251</v>
      </c>
      <c r="BD32" s="337" t="s">
        <v>163</v>
      </c>
      <c r="BE32" s="337" t="s">
        <v>164</v>
      </c>
      <c r="BF32" s="209" t="s">
        <v>620</v>
      </c>
      <c r="BG32" s="83" t="s">
        <v>619</v>
      </c>
      <c r="BH32" s="83" t="s">
        <v>618</v>
      </c>
    </row>
    <row r="33" spans="1:60" hidden="1" x14ac:dyDescent="0.3">
      <c r="A33" s="257">
        <f t="shared" ref="A33:A58" si="1">(B33&gt;=StartRenovation)*1</f>
        <v>0</v>
      </c>
      <c r="B33" s="342">
        <v>2020</v>
      </c>
      <c r="C33" s="343">
        <f>'3-time of replacement'!AX27</f>
        <v>413326.49855931586</v>
      </c>
      <c r="D33" s="343">
        <f>'2-energy assessment'!BL36</f>
        <v>413326.49855931586</v>
      </c>
      <c r="E33" s="344">
        <f>C5</f>
        <v>900</v>
      </c>
      <c r="F33" s="344">
        <f t="shared" ref="F33:F58" si="2">$E33*(MIN(BaseRenovation,ComplyRenovation)+(ComplyRenovation-MIN(BaseRenovation,ComplyRenovation))*TrueRenovation*($B33&gt;=StartRenovation))</f>
        <v>0</v>
      </c>
      <c r="G33" s="344">
        <f>F33</f>
        <v>0</v>
      </c>
      <c r="H33" s="443">
        <f>-$G33*MAX(TrueRenovateFurnace=TRUE,TrueRenovateAllGas=TRUE,MIN($C$14+$C$16,1))*('3-time of replacement'!$V27/C33)</f>
        <v>0</v>
      </c>
      <c r="I33" s="443">
        <f>-$G33*MAX(TrueRenovateDHW=TRUE,TrueRenovateAllGas=TRUE,MIN($C$15+$C$16,1))*('3-time of replacement'!W27/C33)</f>
        <v>0</v>
      </c>
      <c r="J33" s="443">
        <f t="shared" ref="J33:J58" si="3">-$G33*MAX(TrueRenovateAllGas=TRUE,$C$16)</f>
        <v>0</v>
      </c>
      <c r="K33" s="443">
        <f>('3-time of replacement'!AZ27/('3-time of replacement'!AE27+'3-time of replacement'!X27))*L33</f>
        <v>0</v>
      </c>
      <c r="L33" s="443">
        <f>-H33</f>
        <v>0</v>
      </c>
      <c r="M33" s="443">
        <f>-I33</f>
        <v>0</v>
      </c>
      <c r="N33" s="444">
        <v>0</v>
      </c>
      <c r="O33" s="443">
        <f>H33-P33</f>
        <v>0</v>
      </c>
      <c r="P33" s="443">
        <f>$H33*'3-time of replacement'!$AE27/('3-time of replacement'!$X27+'3-time of replacement'!$AE27)</f>
        <v>0</v>
      </c>
      <c r="Q33" s="443">
        <f>I33-R33</f>
        <v>0</v>
      </c>
      <c r="R33" s="443">
        <f>$I33*'3-time of replacement'!$AF27/('3-time of replacement'!$Y27+'3-time of replacement'!$AF27)</f>
        <v>0</v>
      </c>
      <c r="S33" s="347">
        <f>MAX($G33*'3-time of replacement'!AE27/'3-time of replacement'!$AX27+H33,0)</f>
        <v>0</v>
      </c>
      <c r="T33" s="347">
        <f>MAX($G33*'3-time of replacement'!AF27/'3-time of replacement'!$AX27+I33,0)</f>
        <v>0</v>
      </c>
      <c r="U33" s="347">
        <f t="shared" ref="U33:U58" si="4">G33+J33</f>
        <v>0</v>
      </c>
      <c r="V33" s="347">
        <f>$G33*'3-time of replacement'!AH27/'3-time of replacement'!$AX27</f>
        <v>0</v>
      </c>
      <c r="W33" s="347">
        <f>$G33*'3-time of replacement'!AI27/'3-time of replacement'!$AX27</f>
        <v>0</v>
      </c>
      <c r="X33" s="347">
        <f>$G33*'3-time of replacement'!AJ27/'3-time of replacement'!$AX27</f>
        <v>0</v>
      </c>
      <c r="Y33" s="347">
        <f t="shared" ref="Y33:Y58" si="5">G33</f>
        <v>0</v>
      </c>
      <c r="Z33" s="394">
        <f>MAX('3-time of replacement'!X27+O33,0)</f>
        <v>15665.074295398073</v>
      </c>
      <c r="AA33" s="394">
        <f>MAX('3-time of replacement'!Y27+Q33,0)</f>
        <v>33892.772881863901</v>
      </c>
      <c r="AB33" s="394">
        <f>'3-time of replacement'!Z27</f>
        <v>0</v>
      </c>
      <c r="AC33" s="394">
        <f>'3-time of replacement'!AA27+K33</f>
        <v>7109.2157752202329</v>
      </c>
      <c r="AD33" s="394">
        <f>'3-time of replacement'!AB27+L33</f>
        <v>6668.3341767569618</v>
      </c>
      <c r="AE33" s="394">
        <f>'3-time of replacement'!AC27+M33</f>
        <v>4050.5996858812928</v>
      </c>
      <c r="AF33" s="394">
        <f>'3-time of replacement'!AD27+N33</f>
        <v>0</v>
      </c>
      <c r="AG33" s="396">
        <f>MAX('3-time of replacement'!AE27+P33,0)</f>
        <v>297636.41161256336</v>
      </c>
      <c r="AH33" s="396">
        <f>MAX('3-time of replacement'!AF27+R33,0)</f>
        <v>338927.72881863907</v>
      </c>
      <c r="AI33" s="396">
        <f>MAX('3-time of replacement'!AG27+J33,0)</f>
        <v>413326.49855931586</v>
      </c>
      <c r="AJ33" s="396">
        <f>'3-time of replacement'!AH27</f>
        <v>99529.020853083261</v>
      </c>
      <c r="AK33" s="396">
        <f>'3-time of replacement'!AI27</f>
        <v>93356.678474597458</v>
      </c>
      <c r="AL33" s="396">
        <f>'3-time of replacement'!AJ27</f>
        <v>36455.397172931633</v>
      </c>
      <c r="AM33" s="396">
        <f>'3-time of replacement'!AK27</f>
        <v>413326.49855931586</v>
      </c>
      <c r="AN33" s="445">
        <f>Z33+AG33</f>
        <v>313301.48590796144</v>
      </c>
      <c r="AO33" s="445">
        <f t="shared" ref="AO33:AT33" si="6">AA33+AH33</f>
        <v>372820.50170050294</v>
      </c>
      <c r="AP33" s="445">
        <f t="shared" si="6"/>
        <v>413326.49855931586</v>
      </c>
      <c r="AQ33" s="445">
        <f t="shared" si="6"/>
        <v>106638.23662830349</v>
      </c>
      <c r="AR33" s="445">
        <f t="shared" si="6"/>
        <v>100025.01265135442</v>
      </c>
      <c r="AS33" s="445">
        <f t="shared" si="6"/>
        <v>40505.996858812927</v>
      </c>
      <c r="AT33" s="445">
        <f t="shared" si="6"/>
        <v>413326.49855931586</v>
      </c>
      <c r="AU33" s="344">
        <f t="shared" ref="AU33:AU58" si="7">-$C$9*SUMPRODUCT(S33:U33,GasUECs)</f>
        <v>0</v>
      </c>
      <c r="AV33" s="344">
        <f t="shared" ref="AV33:AV58" si="8">-$C$9*SUMPRODUCT(V33:Y33,ElecUECs)</f>
        <v>0</v>
      </c>
      <c r="AW33" s="344">
        <f>O33*'Appliance Stock Profile'!$B$21+P33*'Appliance Stock Profile'!$B$20+Q33*'Appliance Stock Profile'!$C$21+R33*'Appliance Stock Profile'!$C$20+J33*'Appliance Stock Profile'!$D$20</f>
        <v>0</v>
      </c>
      <c r="AX33" s="344">
        <f t="shared" ref="AX33:AX58" si="9">SUMPRODUCT(K33:N33,ElecUEC_NEW)</f>
        <v>0</v>
      </c>
      <c r="AY33" s="344">
        <f>GasEmissions*(AU33+AW33)+'stock-flow model'!$B2*(AV33+AX33)/1000</f>
        <v>0</v>
      </c>
      <c r="AZ33" s="344">
        <f>MAX(GasEmissions*(SUM($AU$33:$AU33)+SUM($AW$33:$AW33))+'stock-flow model'!$B2*(SUM($AV$33:$AV33)+SUM($AX$33:$AX33))/1000,-'3-time of replacement'!AW27)</f>
        <v>0</v>
      </c>
      <c r="BA33" s="343">
        <f>'3-time of replacement'!AW27+AZ33</f>
        <v>1096122.7763067521</v>
      </c>
      <c r="BB33" s="446">
        <f>MAX(('3-time of replacement'!$Z27+'3-time of replacement'!$AG27)+SUM($J$33:$J33),0)</f>
        <v>413326.49855931586</v>
      </c>
      <c r="BC33" s="344">
        <f>'3-time of replacement'!AY27-SUM(J$33:J33)</f>
        <v>0</v>
      </c>
      <c r="BD33" s="344">
        <f>(AG33+AK33-AJ33)+(Z33+AD33-AC33)</f>
        <v>306688.26193101238</v>
      </c>
      <c r="BE33" s="344">
        <f>(AJ33-AK33)+(AC33-AD33)</f>
        <v>6613.2239769490734</v>
      </c>
      <c r="BF33" s="36">
        <v>0</v>
      </c>
      <c r="BG33" s="36">
        <f>BF33</f>
        <v>0</v>
      </c>
      <c r="BH33" s="36">
        <f>AZ33-BG33</f>
        <v>0</v>
      </c>
    </row>
    <row r="34" spans="1:60" hidden="1" x14ac:dyDescent="0.3">
      <c r="A34" s="257">
        <f t="shared" si="1"/>
        <v>0</v>
      </c>
      <c r="B34" s="342">
        <v>2021</v>
      </c>
      <c r="C34" s="343">
        <f>'3-time of replacement'!AX28+SUM(J$33:J33)</f>
        <v>413326.49855931586</v>
      </c>
      <c r="D34" s="343">
        <f>MAX('2-energy assessment'!BL37-SUM(G$33:G33),0)</f>
        <v>413326.49855931586</v>
      </c>
      <c r="E34" s="344">
        <f t="shared" ref="E34:E58" si="10">$C$5*D34/D$33</f>
        <v>900</v>
      </c>
      <c r="F34" s="344">
        <f t="shared" si="2"/>
        <v>0</v>
      </c>
      <c r="G34" s="344">
        <f t="shared" ref="G34:G58" si="11">F34</f>
        <v>0</v>
      </c>
      <c r="H34" s="443">
        <f>-$G34*MAX(TrueRenovateFurnace=TRUE,TrueRenovateAllGas=TRUE,MIN($C$14+$C$16,1))*(MAX('3-time of replacement'!V28+SUM(H$33:H33),0)/C34)</f>
        <v>0</v>
      </c>
      <c r="I34" s="443">
        <f>-$G34*MAX(TrueRenovateDHW=TRUE,TrueRenovateAllGas=TRUE,MIN($C$15+$C$16,1))*(MAX('3-time of replacement'!W28+SUM(I$33:I33),0)/C34)</f>
        <v>0</v>
      </c>
      <c r="J34" s="443">
        <f t="shared" si="3"/>
        <v>0</v>
      </c>
      <c r="K34" s="443">
        <f>('3-time of replacement'!AZ28/('3-time of replacement'!AE28+'3-time of replacement'!X28))*L34</f>
        <v>0</v>
      </c>
      <c r="L34" s="443">
        <f t="shared" ref="L34:M58" si="12">-H34</f>
        <v>0</v>
      </c>
      <c r="M34" s="443">
        <f t="shared" si="12"/>
        <v>0</v>
      </c>
      <c r="N34" s="444">
        <v>0</v>
      </c>
      <c r="O34" s="443">
        <f t="shared" ref="O34:O58" si="13">H34-P34</f>
        <v>0</v>
      </c>
      <c r="P34" s="443">
        <f>MIN($H34*('3-time of replacement'!$AE28+SUM(P$33:P33))/('3-time of replacement'!$X28+'3-time of replacement'!$AE28+SUM(H$33:H33)),0)</f>
        <v>0</v>
      </c>
      <c r="Q34" s="443">
        <f t="shared" ref="Q34:Q58" si="14">I34-R34</f>
        <v>0</v>
      </c>
      <c r="R34" s="443">
        <f>MIN($I34*('3-time of replacement'!$AF28+SUM(R$33:R33))/('3-time of replacement'!$Y28+'3-time of replacement'!$AF28+SUM(I$33:I33)),0)</f>
        <v>0</v>
      </c>
      <c r="S34" s="347">
        <f>MAX($G34*'3-time of replacement'!AE28/'3-time of replacement'!$AX28+H34,0)</f>
        <v>0</v>
      </c>
      <c r="T34" s="347">
        <f>MAX($G34*'3-time of replacement'!AF28/'3-time of replacement'!$AX28+I34,0)</f>
        <v>0</v>
      </c>
      <c r="U34" s="347">
        <f t="shared" si="4"/>
        <v>0</v>
      </c>
      <c r="V34" s="347">
        <f>$G34*('3-time of replacement'!AH28-SUM(V$33:V33))/'3-time of replacement'!$AX28</f>
        <v>0</v>
      </c>
      <c r="W34" s="347">
        <f>$G34*('3-time of replacement'!AI28-SUM(W$33:W33))/'3-time of replacement'!$AX28</f>
        <v>0</v>
      </c>
      <c r="X34" s="347">
        <f>$G34*('3-time of replacement'!AJ28-SUM(X$33:X33))/'3-time of replacement'!$AX28</f>
        <v>0</v>
      </c>
      <c r="Y34" s="347">
        <f t="shared" si="5"/>
        <v>0</v>
      </c>
      <c r="Z34" s="394">
        <f>MAX('3-time of replacement'!X28+O34,0)</f>
        <v>30546.894876026243</v>
      </c>
      <c r="AA34" s="394">
        <f>MAX('3-time of replacement'!Y28+Q34,0)</f>
        <v>64704.384592649272</v>
      </c>
      <c r="AB34" s="394">
        <f>'3-time of replacement'!Z28</f>
        <v>0</v>
      </c>
      <c r="AC34" s="394">
        <f>'3-time of replacement'!AA28+K34</f>
        <v>15345.374619002388</v>
      </c>
      <c r="AD34" s="394">
        <f>'3-time of replacement'!AB28+L34</f>
        <v>14493.003528640065</v>
      </c>
      <c r="AE34" s="394">
        <f>'3-time of replacement'!AC28+M34</f>
        <v>9297.0301900843951</v>
      </c>
      <c r="AF34" s="394">
        <f>'3-time of replacement'!AD28+N34</f>
        <v>1600.8907869099392</v>
      </c>
      <c r="AG34" s="396">
        <f>MAX('3-time of replacement'!AE28+P34,0)</f>
        <v>282754.59103193518</v>
      </c>
      <c r="AH34" s="396">
        <f>MAX('3-time of replacement'!AF28+R34,0)</f>
        <v>308116.11710785364</v>
      </c>
      <c r="AI34" s="396">
        <f>MAX('3-time of replacement'!AG28+J34,0)</f>
        <v>413326.49855931586</v>
      </c>
      <c r="AJ34" s="396">
        <f>'3-time of replacement'!AH28</f>
        <v>92893.752796211047</v>
      </c>
      <c r="AK34" s="396">
        <f>'3-time of replacement'!AI28</f>
        <v>87132.899909624306</v>
      </c>
      <c r="AL34" s="396">
        <f>'3-time of replacement'!AJ28</f>
        <v>32809.85745563847</v>
      </c>
      <c r="AM34" s="396">
        <f>'3-time of replacement'!AK28</f>
        <v>413326.49855931586</v>
      </c>
      <c r="AN34" s="445">
        <f t="shared" ref="AN34:AN58" si="15">Z34+AG34</f>
        <v>313301.48590796144</v>
      </c>
      <c r="AO34" s="445">
        <f t="shared" ref="AO34:AO58" si="16">AA34+AH34</f>
        <v>372820.50170050294</v>
      </c>
      <c r="AP34" s="445">
        <f t="shared" ref="AP34:AP58" si="17">AB34+AI34</f>
        <v>413326.49855931586</v>
      </c>
      <c r="AQ34" s="445">
        <f t="shared" ref="AQ34:AQ58" si="18">AC34+AJ34</f>
        <v>108239.12741521344</v>
      </c>
      <c r="AR34" s="445">
        <f t="shared" ref="AR34:AR58" si="19">AD34+AK34</f>
        <v>101625.90343826437</v>
      </c>
      <c r="AS34" s="445">
        <f t="shared" ref="AS34:AS58" si="20">AE34+AL34</f>
        <v>42106.887645722862</v>
      </c>
      <c r="AT34" s="445">
        <f t="shared" ref="AT34:AT58" si="21">AF34+AM34</f>
        <v>414927.38934622583</v>
      </c>
      <c r="AU34" s="344">
        <f t="shared" si="7"/>
        <v>0</v>
      </c>
      <c r="AV34" s="344">
        <f t="shared" si="8"/>
        <v>0</v>
      </c>
      <c r="AW34" s="344">
        <f>O34*'Appliance Stock Profile'!$B$21+P34*'Appliance Stock Profile'!$B$20+Q34*'Appliance Stock Profile'!$C$21+R34*'Appliance Stock Profile'!$C$20+J34*'Appliance Stock Profile'!$D$20</f>
        <v>0</v>
      </c>
      <c r="AX34" s="344">
        <f t="shared" si="9"/>
        <v>0</v>
      </c>
      <c r="AY34" s="344">
        <f>GasEmissions*(AU34+AW34)+'stock-flow model'!$B3*(AV34+AX34)/1000</f>
        <v>0</v>
      </c>
      <c r="AZ34" s="344">
        <f>MAX(GasEmissions*(SUM($AU$33:$AU34)+SUM($AW$33:$AW34))+'stock-flow model'!$B3*(SUM($AV$33:$AV34)+SUM($AX$33:$AX34))/1000,-'3-time of replacement'!AW28)</f>
        <v>0</v>
      </c>
      <c r="BA34" s="343">
        <f>'3-time of replacement'!AW28+AZ34</f>
        <v>1060934.5405731951</v>
      </c>
      <c r="BB34" s="446">
        <f>MAX(('3-time of replacement'!$Z28+'3-time of replacement'!$AG28)+SUM($J$33:$J34),0)</f>
        <v>413326.49855931586</v>
      </c>
      <c r="BC34" s="344">
        <f>'3-time of replacement'!AY28-SUM(J$33:J34)</f>
        <v>1600.8907869099392</v>
      </c>
      <c r="BD34" s="344">
        <f t="shared" ref="BD34:BD58" si="22">(AG34+AK34-AJ34)+(Z34+AD34-AC34)</f>
        <v>306688.26193101238</v>
      </c>
      <c r="BE34" s="344">
        <f t="shared" ref="BE34:BE58" si="23">(AJ34-AK34)+(AC34-AD34)</f>
        <v>6613.2239769490643</v>
      </c>
      <c r="BF34" s="36">
        <f t="shared" ref="BF34:BF58" si="24">IFERROR(IF(B34&gt;=StartRenovation,(ComplyRenovation-MIN(ComplyRenovation,BaseRenovation))*(AZ34-AZ33)/ComplyRenovation,0),0)*TrueRenovation</f>
        <v>0</v>
      </c>
      <c r="BG34" s="36">
        <f>BG33+BF34</f>
        <v>0</v>
      </c>
      <c r="BH34" s="36">
        <f>AZ34-BG34</f>
        <v>0</v>
      </c>
    </row>
    <row r="35" spans="1:60" hidden="1" x14ac:dyDescent="0.3">
      <c r="A35" s="257">
        <f t="shared" si="1"/>
        <v>1</v>
      </c>
      <c r="B35" s="342">
        <v>2022</v>
      </c>
      <c r="C35" s="343">
        <f>'3-time of replacement'!AX29+SUM(J$33:J34)</f>
        <v>413261.21647365321</v>
      </c>
      <c r="D35" s="343">
        <f>MAX('2-energy assessment'!BL38-SUM(G$33:G34),0)</f>
        <v>412020.85684606293</v>
      </c>
      <c r="E35" s="344">
        <f t="shared" si="10"/>
        <v>897.15702345234706</v>
      </c>
      <c r="F35" s="344">
        <f t="shared" si="2"/>
        <v>897.15702345234706</v>
      </c>
      <c r="G35" s="344">
        <f t="shared" si="11"/>
        <v>897.15702345234706</v>
      </c>
      <c r="H35" s="443">
        <f>-$G35*MAX(TrueRenovateFurnace=TRUE,TrueRenovateAllGas=TRUE,MIN($C$14+$C$16,1))*(MAX('3-time of replacement'!V29+SUM(H$33:H34),0)/C35)</f>
        <v>-648.55474771446666</v>
      </c>
      <c r="I35" s="443">
        <f>-$G35*MAX(TrueRenovateDHW=TRUE,TrueRenovateAllGas=TRUE,MIN($C$15+$C$16,1))*(MAX('3-time of replacement'!W29+SUM(I$33:I34),0)/C35)</f>
        <v>-742.96645101964191</v>
      </c>
      <c r="J35" s="443">
        <f t="shared" si="3"/>
        <v>-897.15702345234706</v>
      </c>
      <c r="K35" s="443">
        <f>('3-time of replacement'!AZ29/('3-time of replacement'!AE29+'3-time of replacement'!X29))*L35</f>
        <v>635.71613810639701</v>
      </c>
      <c r="L35" s="443">
        <f t="shared" si="12"/>
        <v>648.55474771446666</v>
      </c>
      <c r="M35" s="443">
        <f t="shared" si="12"/>
        <v>742.96645101964191</v>
      </c>
      <c r="N35" s="444">
        <v>0</v>
      </c>
      <c r="O35" s="443">
        <f t="shared" si="13"/>
        <v>-92.525179764967561</v>
      </c>
      <c r="P35" s="443">
        <f>MIN($H35*('3-time of replacement'!$AE29+SUM(P$33:P34))/('3-time of replacement'!$X29+'3-time of replacement'!$AE29+SUM(H$33:H34)),0)</f>
        <v>-556.0295679494991</v>
      </c>
      <c r="Q35" s="443">
        <f t="shared" si="14"/>
        <v>-184.80862043252421</v>
      </c>
      <c r="R35" s="443">
        <f>MIN($I35*('3-time of replacement'!$AF29+SUM(R$33:R34))/('3-time of replacement'!$Y29+'3-time of replacement'!$AF29+SUM(I$33:I34)),0)</f>
        <v>-558.1578305871177</v>
      </c>
      <c r="S35" s="347">
        <f>MAX($G35*'3-time of replacement'!AE29/'3-time of replacement'!$AX29+H35,0)</f>
        <v>0</v>
      </c>
      <c r="T35" s="347">
        <f>MAX($G35*'3-time of replacement'!AF29/'3-time of replacement'!$AX29+I35,0)</f>
        <v>0</v>
      </c>
      <c r="U35" s="347">
        <f t="shared" si="4"/>
        <v>0</v>
      </c>
      <c r="V35" s="347">
        <f>$G35*('3-time of replacement'!AH29-SUM(V$33:V34))/'3-time of replacement'!$AX29</f>
        <v>188.22057527996478</v>
      </c>
      <c r="W35" s="347">
        <f>$G35*('3-time of replacement'!AI29-SUM(W$33:W34))/'3-time of replacement'!$AX29</f>
        <v>176.54798146415291</v>
      </c>
      <c r="X35" s="347">
        <f>$G35*('3-time of replacement'!AJ29-SUM(X$33:X34))/'3-time of replacement'!$AX29</f>
        <v>64.104816985664854</v>
      </c>
      <c r="Y35" s="347">
        <f t="shared" si="5"/>
        <v>897.15702345234706</v>
      </c>
      <c r="Z35" s="394">
        <f>MAX('3-time of replacement'!X29+O35,0)</f>
        <v>42527.737878505424</v>
      </c>
      <c r="AA35" s="394">
        <f>MAX('3-time of replacement'!Y29+Q35,0)</f>
        <v>84944.364198019175</v>
      </c>
      <c r="AB35" s="394">
        <f>'3-time of replacement'!Z29</f>
        <v>0</v>
      </c>
      <c r="AC35" s="394">
        <f>'3-time of replacement'!AA29+K35</f>
        <v>37630.559458731295</v>
      </c>
      <c r="AD35" s="394">
        <f>'3-time of replacement'!AB29+L35</f>
        <v>37106.291305376471</v>
      </c>
      <c r="AE35" s="394">
        <f>'3-time of replacement'!AC29+M35</f>
        <v>45506.610875964296</v>
      </c>
      <c r="AF35" s="394">
        <f>'3-time of replacement'!AD29+N35</f>
        <v>3201.7815738198783</v>
      </c>
      <c r="AG35" s="396">
        <f>MAX('3-time of replacement'!AE29+P35,0)</f>
        <v>255570.21103360446</v>
      </c>
      <c r="AH35" s="396">
        <f>MAX('3-time of replacement'!AF29+R35,0)</f>
        <v>256548.43334907765</v>
      </c>
      <c r="AI35" s="396">
        <f>MAX('3-time of replacement'!AG29+J35,0)</f>
        <v>412364.05945020088</v>
      </c>
      <c r="AJ35" s="396">
        <f>'3-time of replacement'!AH29</f>
        <v>86700.835943130311</v>
      </c>
      <c r="AK35" s="396">
        <f>'3-time of replacement'!AI29</f>
        <v>81324.039915649337</v>
      </c>
      <c r="AL35" s="396">
        <f>'3-time of replacement'!AJ29</f>
        <v>29528.871710074622</v>
      </c>
      <c r="AM35" s="396">
        <f>'3-time of replacement'!AK29</f>
        <v>413326.49855931586</v>
      </c>
      <c r="AN35" s="445">
        <f t="shared" si="15"/>
        <v>298097.94891210989</v>
      </c>
      <c r="AO35" s="445">
        <f t="shared" si="16"/>
        <v>341492.79754709685</v>
      </c>
      <c r="AP35" s="445">
        <f t="shared" si="17"/>
        <v>412364.05945020088</v>
      </c>
      <c r="AQ35" s="445">
        <f t="shared" si="18"/>
        <v>124331.39540186161</v>
      </c>
      <c r="AR35" s="445">
        <f t="shared" si="19"/>
        <v>118430.33122102582</v>
      </c>
      <c r="AS35" s="445">
        <f t="shared" si="20"/>
        <v>75035.48258603891</v>
      </c>
      <c r="AT35" s="445">
        <f t="shared" si="21"/>
        <v>416528.28013313573</v>
      </c>
      <c r="AU35" s="344">
        <f t="shared" si="7"/>
        <v>0</v>
      </c>
      <c r="AV35" s="344">
        <f t="shared" si="8"/>
        <v>-863064.72727049643</v>
      </c>
      <c r="AW35" s="344">
        <f>O35*'Appliance Stock Profile'!$B$21+P35*'Appliance Stock Profile'!$B$20+Q35*'Appliance Stock Profile'!$C$21+R35*'Appliance Stock Profile'!$C$20+J35*'Appliance Stock Profile'!$D$20</f>
        <v>-348678.48783454183</v>
      </c>
      <c r="AX35" s="344">
        <f t="shared" si="9"/>
        <v>1617089.7260852221</v>
      </c>
      <c r="AY35" s="344">
        <f>GasEmissions*(AU35+AW35)+'stock-flow model'!$B4*(AV35+AX35)/1000</f>
        <v>-1814.6312121451772</v>
      </c>
      <c r="AZ35" s="344">
        <f>MAX(GasEmissions*(SUM($AU$33:$AU35)+SUM($AW$33:$AW35))+'stock-flow model'!$B4*(SUM($AV$33:$AV35)+SUM($AX$33:$AX35))/1000,-'3-time of replacement'!AW29)</f>
        <v>-1814.6312121451772</v>
      </c>
      <c r="BA35" s="343">
        <f>'3-time of replacement'!AW29+AZ35</f>
        <v>971318.45526306797</v>
      </c>
      <c r="BB35" s="446">
        <f>MAX(('3-time of replacement'!$Z29+'3-time of replacement'!$AG29)+SUM($J$33:$J35),0)</f>
        <v>412364.05945020088</v>
      </c>
      <c r="BC35" s="344">
        <f>'3-time of replacement'!AY29-SUM(J$33:J35)</f>
        <v>4164.2206829348725</v>
      </c>
      <c r="BD35" s="344">
        <f t="shared" si="22"/>
        <v>292196.8847312741</v>
      </c>
      <c r="BE35" s="344">
        <f t="shared" si="23"/>
        <v>5901.0641808357977</v>
      </c>
      <c r="BF35" s="36">
        <f t="shared" si="24"/>
        <v>-1814.6312121451772</v>
      </c>
      <c r="BG35" s="36">
        <f t="shared" ref="BG35:BG58" si="25">BG34+BF35</f>
        <v>-1814.6312121451772</v>
      </c>
      <c r="BH35" s="36">
        <f t="shared" ref="BH35:BH58" si="26">AZ35-BG35</f>
        <v>0</v>
      </c>
    </row>
    <row r="36" spans="1:60" hidden="1" x14ac:dyDescent="0.3">
      <c r="A36" s="257">
        <f t="shared" si="1"/>
        <v>1</v>
      </c>
      <c r="B36" s="342">
        <v>2023</v>
      </c>
      <c r="C36" s="343">
        <f>'3-time of replacement'!AX30+SUM(J$33:J35)</f>
        <v>412301.77781206678</v>
      </c>
      <c r="D36" s="343">
        <f>MAX('2-energy assessment'!BL39-SUM(G$33:G35),0)</f>
        <v>409878.0670599282</v>
      </c>
      <c r="E36" s="344">
        <f t="shared" si="10"/>
        <v>892.49119434571276</v>
      </c>
      <c r="F36" s="344">
        <f t="shared" si="2"/>
        <v>892.49119434571276</v>
      </c>
      <c r="G36" s="344">
        <f t="shared" si="11"/>
        <v>892.49119434571276</v>
      </c>
      <c r="H36" s="443">
        <f>-$G36*MAX(TrueRenovateFurnace=TRUE,TrueRenovateAllGas=TRUE,MIN($C$14+$C$16,1))*(MAX('3-time of replacement'!V30+SUM(H$33:H35),0)/C36)</f>
        <v>-615.29330040251318</v>
      </c>
      <c r="I36" s="443">
        <f>-$G36*MAX(TrueRenovateDHW=TRUE,TrueRenovateAllGas=TRUE,MIN($C$15+$C$16,1))*(MAX('3-time of replacement'!W30+SUM(I$33:I35),0)/C36)</f>
        <v>-678.44892450141879</v>
      </c>
      <c r="J36" s="443">
        <f t="shared" si="3"/>
        <v>-892.49119434571276</v>
      </c>
      <c r="K36" s="443">
        <f>('3-time of replacement'!AZ30/('3-time of replacement'!AE30+'3-time of replacement'!X30))*L36</f>
        <v>603.8771980581821</v>
      </c>
      <c r="L36" s="443">
        <f t="shared" si="12"/>
        <v>615.29330040251318</v>
      </c>
      <c r="M36" s="443">
        <f t="shared" si="12"/>
        <v>678.44892450141879</v>
      </c>
      <c r="N36" s="444">
        <v>0</v>
      </c>
      <c r="O36" s="443">
        <f t="shared" si="13"/>
        <v>-115.53482374508178</v>
      </c>
      <c r="P36" s="443">
        <f>MIN($H36*('3-time of replacement'!$AE30+SUM(P$33:P35))/('3-time of replacement'!$X30+'3-time of replacement'!$AE30+SUM(H$33:H35)),0)</f>
        <v>-499.7584766574314</v>
      </c>
      <c r="Q36" s="443">
        <f t="shared" si="14"/>
        <v>-219.40937092451799</v>
      </c>
      <c r="R36" s="443">
        <f>MIN($I36*('3-time of replacement'!$AF30+SUM(R$33:R35))/('3-time of replacement'!$Y30+'3-time of replacement'!$AF30+SUM(I$33:I35)),0)</f>
        <v>-459.0395535769008</v>
      </c>
      <c r="S36" s="347">
        <f>MAX($G36*'3-time of replacement'!AE30/'3-time of replacement'!$AX30+H36,0)</f>
        <v>0</v>
      </c>
      <c r="T36" s="347">
        <f>MAX($G36*'3-time of replacement'!AF30/'3-time of replacement'!$AX30+I36,0)</f>
        <v>0</v>
      </c>
      <c r="U36" s="347">
        <f t="shared" si="4"/>
        <v>0</v>
      </c>
      <c r="V36" s="347">
        <f>$G36*('3-time of replacement'!AH30-SUM(V$33:V35))/'3-time of replacement'!$AX30</f>
        <v>174.37871325312651</v>
      </c>
      <c r="W36" s="347">
        <f>$G36*('3-time of replacement'!AI30-SUM(W$33:W35))/'3-time of replacement'!$AX30</f>
        <v>163.56452948549068</v>
      </c>
      <c r="X36" s="347">
        <f>$G36*('3-time of replacement'!AJ30-SUM(X$33:X35))/'3-time of replacement'!$AX30</f>
        <v>57.2644728789761</v>
      </c>
      <c r="Y36" s="347">
        <f t="shared" si="5"/>
        <v>892.49119434571276</v>
      </c>
      <c r="Z36" s="394">
        <f>MAX('3-time of replacement'!X30+O36,0)</f>
        <v>53350.304884038866</v>
      </c>
      <c r="AA36" s="394">
        <f>MAX('3-time of replacement'!Y30+Q36,0)</f>
        <v>101325.36142496057</v>
      </c>
      <c r="AB36" s="394">
        <f>'3-time of replacement'!Z30</f>
        <v>0</v>
      </c>
      <c r="AC36" s="394">
        <f>'3-time of replacement'!AA30+K36</f>
        <v>58204.207043153481</v>
      </c>
      <c r="AD36" s="394">
        <f>'3-time of replacement'!AB30+L36</f>
        <v>57948.066505426556</v>
      </c>
      <c r="AE36" s="394">
        <f>'3-time of replacement'!AC30+M36</f>
        <v>78067.42783965441</v>
      </c>
      <c r="AF36" s="394">
        <f>'3-time of replacement'!AD30+N36</f>
        <v>4802.6723607298172</v>
      </c>
      <c r="AG36" s="396">
        <f>MAX('3-time of replacement'!AE30+P36,0)</f>
        <v>230928.36227597421</v>
      </c>
      <c r="AH36" s="396">
        <f>MAX('3-time of replacement'!AF30+R36,0)</f>
        <v>212160.39711636354</v>
      </c>
      <c r="AI36" s="396">
        <f>MAX('3-time of replacement'!AG30+J36,0)</f>
        <v>412306.44364117342</v>
      </c>
      <c r="AJ36" s="396">
        <f>'3-time of replacement'!AH30</f>
        <v>80920.780213588296</v>
      </c>
      <c r="AK36" s="396">
        <f>'3-time of replacement'!AI30</f>
        <v>75902.437254606048</v>
      </c>
      <c r="AL36" s="396">
        <f>'3-time of replacement'!AJ30</f>
        <v>26575.984539067162</v>
      </c>
      <c r="AM36" s="396">
        <f>'3-time of replacement'!AK30</f>
        <v>413326.49855931586</v>
      </c>
      <c r="AN36" s="445">
        <f t="shared" si="15"/>
        <v>284278.66716001311</v>
      </c>
      <c r="AO36" s="445">
        <f t="shared" si="16"/>
        <v>313485.75854132412</v>
      </c>
      <c r="AP36" s="445">
        <f t="shared" si="17"/>
        <v>412306.44364117342</v>
      </c>
      <c r="AQ36" s="445">
        <f t="shared" si="18"/>
        <v>139124.98725674179</v>
      </c>
      <c r="AR36" s="445">
        <f t="shared" si="19"/>
        <v>133850.50376003259</v>
      </c>
      <c r="AS36" s="445">
        <f t="shared" si="20"/>
        <v>104643.41237872158</v>
      </c>
      <c r="AT36" s="445">
        <f t="shared" si="21"/>
        <v>418129.1709200457</v>
      </c>
      <c r="AU36" s="344">
        <f t="shared" si="7"/>
        <v>0</v>
      </c>
      <c r="AV36" s="344">
        <f t="shared" si="8"/>
        <v>-852875.13742594502</v>
      </c>
      <c r="AW36" s="344">
        <f>O36*'Appliance Stock Profile'!$B$21+P36*'Appliance Stock Profile'!$B$20+Q36*'Appliance Stock Profile'!$C$21+R36*'Appliance Stock Profile'!$C$20+J36*'Appliance Stock Profile'!$D$20</f>
        <v>-319175.67130482063</v>
      </c>
      <c r="AX36" s="344">
        <f t="shared" si="9"/>
        <v>1515595.5105688376</v>
      </c>
      <c r="AY36" s="344">
        <f>GasEmissions*(AU36+AW36)+'stock-flow model'!$B5*(AV36+AX36)/1000</f>
        <v>-1665.9719939450097</v>
      </c>
      <c r="AZ36" s="344">
        <f>MAX(GasEmissions*(SUM($AU$33:$AU36)+SUM($AW$33:$AW36))+'stock-flow model'!$B5*(SUM($AV$33:$AV36)+SUM($AX$33:$AX36))/1000,-'3-time of replacement'!AW30)</f>
        <v>-3484.7738027624232</v>
      </c>
      <c r="BA36" s="343">
        <f>'3-time of replacement'!AW30+AZ36</f>
        <v>888077.86443912471</v>
      </c>
      <c r="BB36" s="446">
        <f>MAX(('3-time of replacement'!$Z30+'3-time of replacement'!$AG30)+SUM($J$33:$J36),0)</f>
        <v>411409.28661772108</v>
      </c>
      <c r="BC36" s="344">
        <f>'3-time of replacement'!AY30-SUM(J$33:J36)</f>
        <v>6719.8843023246454</v>
      </c>
      <c r="BD36" s="344">
        <f t="shared" si="22"/>
        <v>279004.18366330396</v>
      </c>
      <c r="BE36" s="344">
        <f t="shared" si="23"/>
        <v>5274.4834967091738</v>
      </c>
      <c r="BF36" s="36">
        <f t="shared" si="24"/>
        <v>-1670.142590617246</v>
      </c>
      <c r="BG36" s="36">
        <f t="shared" si="25"/>
        <v>-3484.7738027624232</v>
      </c>
      <c r="BH36" s="36">
        <f t="shared" si="26"/>
        <v>0</v>
      </c>
    </row>
    <row r="37" spans="1:60" hidden="1" x14ac:dyDescent="0.3">
      <c r="A37" s="257">
        <f t="shared" si="1"/>
        <v>1</v>
      </c>
      <c r="B37" s="342">
        <v>2024</v>
      </c>
      <c r="C37" s="343">
        <f>'3-time of replacement'!AX31+SUM(J$33:J36)</f>
        <v>411349.86752273818</v>
      </c>
      <c r="D37" s="343">
        <f>MAX('2-energy assessment'!BL40-SUM(G$33:G36),0)</f>
        <v>407797.19396592479</v>
      </c>
      <c r="E37" s="344">
        <f t="shared" si="10"/>
        <v>887.96018607227563</v>
      </c>
      <c r="F37" s="344">
        <f t="shared" si="2"/>
        <v>887.96018607227563</v>
      </c>
      <c r="G37" s="344">
        <f t="shared" si="11"/>
        <v>887.96018607227563</v>
      </c>
      <c r="H37" s="443">
        <f>-$G37*MAX(TrueRenovateFurnace=TRUE,TrueRenovateAllGas=TRUE,MIN($C$14+$C$16,1))*(MAX('3-time of replacement'!V31+SUM(H$33:H36),0)/C37)</f>
        <v>-583.79294062297924</v>
      </c>
      <c r="I37" s="443">
        <f>-$G37*MAX(TrueRenovateDHW=TRUE,TrueRenovateAllGas=TRUE,MIN($C$15+$C$16,1))*(MAX('3-time of replacement'!W31+SUM(I$33:I36),0)/C37)</f>
        <v>-619.483535726372</v>
      </c>
      <c r="J37" s="443">
        <f t="shared" si="3"/>
        <v>-887.96018607227563</v>
      </c>
      <c r="K37" s="443">
        <f>('3-time of replacement'!AZ31/('3-time of replacement'!AE31+'3-time of replacement'!X31))*L37</f>
        <v>573.64661641611622</v>
      </c>
      <c r="L37" s="443">
        <f t="shared" si="12"/>
        <v>583.79294062297924</v>
      </c>
      <c r="M37" s="443">
        <f t="shared" si="12"/>
        <v>619.483535726372</v>
      </c>
      <c r="N37" s="444">
        <v>0</v>
      </c>
      <c r="O37" s="443">
        <f t="shared" si="13"/>
        <v>-135.92423404230533</v>
      </c>
      <c r="P37" s="443">
        <f>MIN($H37*('3-time of replacement'!$AE31+SUM(P$33:P36))/('3-time of replacement'!$X31+'3-time of replacement'!$AE31+SUM(H$33:H36)),0)</f>
        <v>-447.86870658067392</v>
      </c>
      <c r="Q37" s="443">
        <f t="shared" si="14"/>
        <v>-246.27500501813796</v>
      </c>
      <c r="R37" s="443">
        <f>MIN($I37*('3-time of replacement'!$AF31+SUM(R$33:R36))/('3-time of replacement'!$Y31+'3-time of replacement'!$AF31+SUM(I$33:I36)),0)</f>
        <v>-373.20853070823404</v>
      </c>
      <c r="S37" s="347">
        <f>MAX($G37*'3-time of replacement'!AE31/'3-time of replacement'!$AX31+H37,0)</f>
        <v>0</v>
      </c>
      <c r="T37" s="347">
        <f>MAX($G37*'3-time of replacement'!AF31/'3-time of replacement'!$AX31+I37,0)</f>
        <v>0</v>
      </c>
      <c r="U37" s="347">
        <f t="shared" si="4"/>
        <v>0</v>
      </c>
      <c r="V37" s="347">
        <f>$G37*('3-time of replacement'!AH31-SUM(V$33:V36))/'3-time of replacement'!$AX31</f>
        <v>161.5487247704171</v>
      </c>
      <c r="W37" s="347">
        <f>$G37*('3-time of replacement'!AI31-SUM(W$33:W36))/'3-time of replacement'!$AX31</f>
        <v>151.53019920325943</v>
      </c>
      <c r="X37" s="347">
        <f>$G37*('3-time of replacement'!AJ31-SUM(X$33:X36))/'3-time of replacement'!$AX31</f>
        <v>51.146895071607474</v>
      </c>
      <c r="Y37" s="347">
        <f t="shared" si="5"/>
        <v>887.96018607227563</v>
      </c>
      <c r="Z37" s="394">
        <f>MAX('3-time of replacement'!X31+O37,0)</f>
        <v>63039.39099489621</v>
      </c>
      <c r="AA37" s="394">
        <f>MAX('3-time of replacement'!Y31+Q37,0)</f>
        <v>114245.48010495352</v>
      </c>
      <c r="AB37" s="394">
        <f>'3-time of replacement'!Z31</f>
        <v>0</v>
      </c>
      <c r="AC37" s="394">
        <f>'3-time of replacement'!AA31+K37</f>
        <v>77792.476194019604</v>
      </c>
      <c r="AD37" s="394">
        <f>'3-time of replacement'!AB31+L37</f>
        <v>77764.132495286962</v>
      </c>
      <c r="AE37" s="394">
        <f>'3-time of replacement'!AC31+M37</f>
        <v>108032.38336595696</v>
      </c>
      <c r="AF37" s="394">
        <f>'3-time of replacement'!AD31+N37</f>
        <v>6403.5631476397566</v>
      </c>
      <c r="AG37" s="396">
        <f>MAX('3-time of replacement'!AE31+P37,0)</f>
        <v>208084.26344580678</v>
      </c>
      <c r="AH37" s="396">
        <f>MAX('3-time of replacement'!AF31+R37,0)</f>
        <v>173533.81215088468</v>
      </c>
      <c r="AI37" s="396">
        <f>MAX('3-time of replacement'!AG31+J37,0)</f>
        <v>412251.55555446394</v>
      </c>
      <c r="AJ37" s="396">
        <f>'3-time of replacement'!AH31</f>
        <v>75526.061532682405</v>
      </c>
      <c r="AK37" s="396">
        <f>'3-time of replacement'!AI31</f>
        <v>70842.274770965654</v>
      </c>
      <c r="AL37" s="396">
        <f>'3-time of replacement'!AJ31</f>
        <v>23918.386085160444</v>
      </c>
      <c r="AM37" s="396">
        <f>'3-time of replacement'!AK31</f>
        <v>413326.49855931586</v>
      </c>
      <c r="AN37" s="445">
        <f t="shared" si="15"/>
        <v>271123.65444070299</v>
      </c>
      <c r="AO37" s="445">
        <f t="shared" si="16"/>
        <v>287779.29225583817</v>
      </c>
      <c r="AP37" s="445">
        <f t="shared" si="17"/>
        <v>412251.55555446394</v>
      </c>
      <c r="AQ37" s="445">
        <f t="shared" si="18"/>
        <v>153318.53772670199</v>
      </c>
      <c r="AR37" s="445">
        <f t="shared" si="19"/>
        <v>148606.40726625262</v>
      </c>
      <c r="AS37" s="445">
        <f t="shared" si="20"/>
        <v>131950.7694511174</v>
      </c>
      <c r="AT37" s="445">
        <f t="shared" si="21"/>
        <v>419730.0617069556</v>
      </c>
      <c r="AU37" s="344">
        <f t="shared" si="7"/>
        <v>0</v>
      </c>
      <c r="AV37" s="344">
        <f t="shared" si="8"/>
        <v>-843291.5973114263</v>
      </c>
      <c r="AW37" s="344">
        <f>O37*'Appliance Stock Profile'!$B$21+P37*'Appliance Stock Profile'!$B$20+Q37*'Appliance Stock Profile'!$C$21+R37*'Appliance Stock Profile'!$C$20+J37*'Appliance Stock Profile'!$D$20</f>
        <v>-292464.39522033528</v>
      </c>
      <c r="AX37" s="344">
        <f t="shared" si="9"/>
        <v>1420969.9505465482</v>
      </c>
      <c r="AY37" s="344">
        <f>GasEmissions*(AU37+AW37)+'stock-flow model'!$B6*(AV37+AX37)/1000</f>
        <v>-1530.8900728535439</v>
      </c>
      <c r="AZ37" s="344">
        <f>MAX(GasEmissions*(SUM($AU$33:$AU37)+SUM($AW$33:$AW37))+'stock-flow model'!$B6*(SUM($AV$33:$AV37)+SUM($AX$33:$AX37))/1000,-'3-time of replacement'!AW31)</f>
        <v>-5023.5000528554247</v>
      </c>
      <c r="BA37" s="343">
        <f>'3-time of replacement'!AW31+AZ37</f>
        <v>810588.505090322</v>
      </c>
      <c r="BB37" s="446">
        <f>MAX(('3-time of replacement'!$Z31+'3-time of replacement'!$AG31)+SUM($J$33:$J37),0)</f>
        <v>410461.9073366659</v>
      </c>
      <c r="BC37" s="344">
        <f>'3-time of replacement'!AY31-SUM(J$33:J37)</f>
        <v>9268.1543702897452</v>
      </c>
      <c r="BD37" s="344">
        <f t="shared" si="22"/>
        <v>266411.52398025361</v>
      </c>
      <c r="BE37" s="344">
        <f t="shared" si="23"/>
        <v>4712.1304604493926</v>
      </c>
      <c r="BF37" s="36">
        <f t="shared" si="24"/>
        <v>-1538.7262500930015</v>
      </c>
      <c r="BG37" s="36">
        <f t="shared" si="25"/>
        <v>-5023.5000528554247</v>
      </c>
      <c r="BH37" s="36">
        <f t="shared" si="26"/>
        <v>0</v>
      </c>
    </row>
    <row r="38" spans="1:60" hidden="1" x14ac:dyDescent="0.3">
      <c r="A38" s="257">
        <f t="shared" si="1"/>
        <v>1</v>
      </c>
      <c r="B38" s="342">
        <v>2025</v>
      </c>
      <c r="C38" s="343">
        <f>'3-time of replacement'!AX32+SUM(J$33:J37)</f>
        <v>410405.21921871719</v>
      </c>
      <c r="D38" s="343">
        <f>MAX('2-energy assessment'!BL41-SUM(G$33:G37),0)</f>
        <v>405775.47142087854</v>
      </c>
      <c r="E38" s="344">
        <f t="shared" si="10"/>
        <v>883.55797547875272</v>
      </c>
      <c r="F38" s="344">
        <f t="shared" si="2"/>
        <v>883.55797547875272</v>
      </c>
      <c r="G38" s="344">
        <f t="shared" si="11"/>
        <v>883.55797547875272</v>
      </c>
      <c r="H38" s="443">
        <f>-$G38*MAX(TrueRenovateFurnace=TRUE,TrueRenovateAllGas=TRUE,MIN($C$14+$C$16,1))*(MAX('3-time of replacement'!V32+SUM(H$33:H37),0)/C38)</f>
        <v>-553.94983330040441</v>
      </c>
      <c r="I38" s="443">
        <f>-$G38*MAX(TrueRenovateDHW=TRUE,TrueRenovateAllGas=TRUE,MIN($C$15+$C$16,1))*(MAX('3-time of replacement'!W32+SUM(I$33:I37),0)/C38)</f>
        <v>-565.5832513909121</v>
      </c>
      <c r="J38" s="443">
        <f t="shared" si="3"/>
        <v>-883.55797547875272</v>
      </c>
      <c r="K38" s="443">
        <f>('3-time of replacement'!AZ32/('3-time of replacement'!AE32+'3-time of replacement'!X32))*L38</f>
        <v>544.9364071940023</v>
      </c>
      <c r="L38" s="443">
        <f t="shared" si="12"/>
        <v>553.94983330040441</v>
      </c>
      <c r="M38" s="443">
        <f t="shared" si="12"/>
        <v>565.5832513909121</v>
      </c>
      <c r="N38" s="444">
        <v>0</v>
      </c>
      <c r="O38" s="443">
        <f t="shared" si="13"/>
        <v>-153.91049849579503</v>
      </c>
      <c r="P38" s="443">
        <f>MIN($H38*('3-time of replacement'!$AE32+SUM(P$33:P37))/('3-time of replacement'!$X32+'3-time of replacement'!$AE32+SUM(H$33:H37)),0)</f>
        <v>-400.03933480460938</v>
      </c>
      <c r="Q38" s="443">
        <f t="shared" si="14"/>
        <v>-266.52079191109192</v>
      </c>
      <c r="R38" s="443">
        <f>MIN($I38*('3-time of replacement'!$AF32+SUM(R$33:R37))/('3-time of replacement'!$Y32+'3-time of replacement'!$AF32+SUM(I$33:I37)),0)</f>
        <v>-299.06245947982018</v>
      </c>
      <c r="S38" s="347">
        <f>MAX($G38*'3-time of replacement'!AE32/'3-time of replacement'!$AX32+H38,0)</f>
        <v>0</v>
      </c>
      <c r="T38" s="347">
        <f>MAX($G38*'3-time of replacement'!AF32/'3-time of replacement'!$AX32+I38,0)</f>
        <v>0</v>
      </c>
      <c r="U38" s="347">
        <f t="shared" si="4"/>
        <v>0</v>
      </c>
      <c r="V38" s="347">
        <f>$G38*('3-time of replacement'!AH32-SUM(V$33:V37))/'3-time of replacement'!$AX32</f>
        <v>149.65464017735221</v>
      </c>
      <c r="W38" s="347">
        <f>$G38*('3-time of replacement'!AI32-SUM(W$33:W37))/'3-time of replacement'!$AX32</f>
        <v>140.37373225937685</v>
      </c>
      <c r="X38" s="347">
        <f>$G38*('3-time of replacement'!AJ32-SUM(X$33:X37))/'3-time of replacement'!$AX32</f>
        <v>45.67491891396142</v>
      </c>
      <c r="Y38" s="347">
        <f t="shared" si="5"/>
        <v>883.55797547875272</v>
      </c>
      <c r="Z38" s="394">
        <f>MAX('3-time of replacement'!X32+O38,0)</f>
        <v>71680.200734970698</v>
      </c>
      <c r="AA38" s="394">
        <f>MAX('3-time of replacement'!Y32+Q38,0)</f>
        <v>124180.6296579264</v>
      </c>
      <c r="AB38" s="394">
        <f>'3-time of replacement'!Z32</f>
        <v>0</v>
      </c>
      <c r="AC38" s="394">
        <f>'3-time of replacement'!AA32+K38</f>
        <v>96448.960548204166</v>
      </c>
      <c r="AD38" s="394">
        <f>'3-time of replacement'!AB32+L38</f>
        <v>96612.784636413329</v>
      </c>
      <c r="AE38" s="394">
        <f>'3-time of replacement'!AC32+M38</f>
        <v>135620.44463289183</v>
      </c>
      <c r="AF38" s="394">
        <f>'3-time of replacement'!AD32+N38</f>
        <v>8004.453934549696</v>
      </c>
      <c r="AG38" s="396">
        <f>MAX('3-time of replacement'!AE32+P38,0)</f>
        <v>186918.51066958028</v>
      </c>
      <c r="AH38" s="396">
        <f>MAX('3-time of replacement'!AF32+R38,0)</f>
        <v>140003.33072640296</v>
      </c>
      <c r="AI38" s="396">
        <f>MAX('3-time of replacement'!AG32+J38,0)</f>
        <v>412199.26964710874</v>
      </c>
      <c r="AJ38" s="396">
        <f>'3-time of replacement'!AH32</f>
        <v>70490.990763836904</v>
      </c>
      <c r="AK38" s="396">
        <f>'3-time of replacement'!AI32</f>
        <v>66119.456452901271</v>
      </c>
      <c r="AL38" s="396">
        <f>'3-time of replacement'!AJ32</f>
        <v>21526.547476644399</v>
      </c>
      <c r="AM38" s="396">
        <f>'3-time of replacement'!AK32</f>
        <v>413326.49855931586</v>
      </c>
      <c r="AN38" s="445">
        <f t="shared" si="15"/>
        <v>258598.711404551</v>
      </c>
      <c r="AO38" s="445">
        <f t="shared" si="16"/>
        <v>264183.96038432937</v>
      </c>
      <c r="AP38" s="445">
        <f t="shared" si="17"/>
        <v>412199.26964710874</v>
      </c>
      <c r="AQ38" s="445">
        <f t="shared" si="18"/>
        <v>166939.95131204108</v>
      </c>
      <c r="AR38" s="445">
        <f t="shared" si="19"/>
        <v>162732.2410893146</v>
      </c>
      <c r="AS38" s="445">
        <f t="shared" si="20"/>
        <v>157146.99210953622</v>
      </c>
      <c r="AT38" s="445">
        <f t="shared" si="21"/>
        <v>421330.95249386557</v>
      </c>
      <c r="AU38" s="344">
        <f t="shared" si="7"/>
        <v>0</v>
      </c>
      <c r="AV38" s="344">
        <f t="shared" si="8"/>
        <v>-834267.90144826716</v>
      </c>
      <c r="AW38" s="344">
        <f>O38*'Appliance Stock Profile'!$B$21+P38*'Appliance Stock Profile'!$B$20+Q38*'Appliance Stock Profile'!$C$21+R38*'Appliance Stock Profile'!$C$20+J38*'Appliance Stock Profile'!$D$20</f>
        <v>-268267.20701744437</v>
      </c>
      <c r="AX38" s="344">
        <f t="shared" si="9"/>
        <v>1332696.7439146789</v>
      </c>
      <c r="AY38" s="344">
        <f>GasEmissions*(AU38+AW38)+'stock-flow model'!$B7*(AV38+AX38)/1000</f>
        <v>-1408.0318685892594</v>
      </c>
      <c r="AZ38" s="344">
        <f>MAX(GasEmissions*(SUM($AU$33:$AU38)+SUM($AW$33:$AW38))+'stock-flow model'!$B7*(SUM($AV$33:$AV38)+SUM($AX$33:$AX38))/1000,-'3-time of replacement'!AW32)</f>
        <v>-6442.5633023198461</v>
      </c>
      <c r="BA38" s="343">
        <f>'3-time of replacement'!AW32+AZ38</f>
        <v>738287.03648519889</v>
      </c>
      <c r="BB38" s="446">
        <f>MAX(('3-time of replacement'!$Z32+'3-time of replacement'!$AG32)+SUM($J$33:$J38),0)</f>
        <v>409521.66124323843</v>
      </c>
      <c r="BC38" s="344">
        <f>'3-time of replacement'!AY32-SUM(J$33:J38)</f>
        <v>11809.291250627133</v>
      </c>
      <c r="BD38" s="344">
        <f t="shared" si="22"/>
        <v>254391.00118182451</v>
      </c>
      <c r="BE38" s="344">
        <f t="shared" si="23"/>
        <v>4207.7102227264695</v>
      </c>
      <c r="BF38" s="36">
        <f t="shared" si="24"/>
        <v>-1419.0632494644215</v>
      </c>
      <c r="BG38" s="36">
        <f t="shared" si="25"/>
        <v>-6442.5633023198461</v>
      </c>
      <c r="BH38" s="36">
        <f t="shared" si="26"/>
        <v>0</v>
      </c>
    </row>
    <row r="39" spans="1:60" hidden="1" x14ac:dyDescent="0.3">
      <c r="A39" s="257">
        <f t="shared" si="1"/>
        <v>1</v>
      </c>
      <c r="B39" s="342">
        <v>2026</v>
      </c>
      <c r="C39" s="343">
        <f>'3-time of replacement'!AX33+SUM(J$33:J38)</f>
        <v>409467.57858315262</v>
      </c>
      <c r="D39" s="343">
        <f>MAX('2-energy assessment'!BL42-SUM(G$33:G38),0)</f>
        <v>403810.26024368376</v>
      </c>
      <c r="E39" s="344">
        <f t="shared" si="10"/>
        <v>879.27881586609726</v>
      </c>
      <c r="F39" s="344">
        <f t="shared" si="2"/>
        <v>879.27881586609726</v>
      </c>
      <c r="G39" s="344">
        <f t="shared" si="11"/>
        <v>879.27881586609726</v>
      </c>
      <c r="H39" s="443">
        <f>-$G39*MAX(TrueRenovateFurnace=TRUE,TrueRenovateAllGas=TRUE,MIN($C$14+$C$16,1))*(MAX('3-time of replacement'!V33+SUM(H$33:H38),0)/C39)</f>
        <v>-525.66714299892476</v>
      </c>
      <c r="I39" s="443">
        <f>-$G39*MAX(TrueRenovateDHW=TRUE,TrueRenovateAllGas=TRUE,MIN($C$15+$C$16,1))*(MAX('3-time of replacement'!W33+SUM(I$33:I38),0)/C39)</f>
        <v>-516.30488785419539</v>
      </c>
      <c r="J39" s="443">
        <f t="shared" si="3"/>
        <v>-879.27881586609726</v>
      </c>
      <c r="K39" s="443">
        <f>('3-time of replacement'!AZ33/('3-time of replacement'!AE33+'3-time of replacement'!X33))*L39</f>
        <v>517.66401168460061</v>
      </c>
      <c r="L39" s="443">
        <f t="shared" si="12"/>
        <v>525.66714299892476</v>
      </c>
      <c r="M39" s="443">
        <f t="shared" si="12"/>
        <v>516.30488785419539</v>
      </c>
      <c r="N39" s="444">
        <v>0</v>
      </c>
      <c r="O39" s="443">
        <f t="shared" si="13"/>
        <v>-169.69366622320916</v>
      </c>
      <c r="P39" s="443">
        <f>MIN($H39*('3-time of replacement'!$AE33+SUM(P$33:P38))/('3-time of replacement'!$X33+'3-time of replacement'!$AE33+SUM(H$33:H38)),0)</f>
        <v>-355.9734767757156</v>
      </c>
      <c r="Q39" s="443">
        <f t="shared" si="14"/>
        <v>-281.12173012793608</v>
      </c>
      <c r="R39" s="443">
        <f>MIN($I39*('3-time of replacement'!$AF33+SUM(R$33:R38))/('3-time of replacement'!$Y33+'3-time of replacement'!$AF33+SUM(I$33:I38)),0)</f>
        <v>-235.18315772625931</v>
      </c>
      <c r="S39" s="347">
        <f>MAX($G39*'3-time of replacement'!AE33/'3-time of replacement'!$AX33+H39,0)</f>
        <v>0</v>
      </c>
      <c r="T39" s="347">
        <f>MAX($G39*'3-time of replacement'!AF33/'3-time of replacement'!$AX33+I39,0)</f>
        <v>0</v>
      </c>
      <c r="U39" s="347">
        <f t="shared" si="4"/>
        <v>0</v>
      </c>
      <c r="V39" s="347">
        <f>$G39*('3-time of replacement'!AH33-SUM(V$33:V38))/'3-time of replacement'!$AX33</f>
        <v>138.62641005313657</v>
      </c>
      <c r="W39" s="347">
        <f>$G39*('3-time of replacement'!AI33-SUM(W$33:W38))/'3-time of replacement'!$AX33</f>
        <v>130.02942338317459</v>
      </c>
      <c r="X39" s="347">
        <f>$G39*('3-time of replacement'!AJ33-SUM(X$33:X38))/'3-time of replacement'!$AX33</f>
        <v>40.779734697539098</v>
      </c>
      <c r="Y39" s="347">
        <f t="shared" si="5"/>
        <v>879.27881586609726</v>
      </c>
      <c r="Z39" s="394">
        <f>MAX('3-time of replacement'!X33+O39,0)</f>
        <v>79352.116300709691</v>
      </c>
      <c r="AA39" s="394">
        <f>MAX('3-time of replacement'!Y33+Q39,0)</f>
        <v>131550.26420666493</v>
      </c>
      <c r="AB39" s="394">
        <f>'3-time of replacement'!Z33</f>
        <v>0</v>
      </c>
      <c r="AC39" s="394">
        <f>'3-time of replacement'!AA33+K39</f>
        <v>114224.15642950882</v>
      </c>
      <c r="AD39" s="394">
        <f>'3-time of replacement'!AB33+L39</f>
        <v>114548.75084176441</v>
      </c>
      <c r="AE39" s="394">
        <f>'3-time of replacement'!AC33+M39</f>
        <v>161031.96562928284</v>
      </c>
      <c r="AF39" s="394">
        <f>'3-time of replacement'!AD33+N39</f>
        <v>9605.3447214596345</v>
      </c>
      <c r="AG39" s="396">
        <f>MAX('3-time of replacement'!AE33+P39,0)</f>
        <v>167319.48344892685</v>
      </c>
      <c r="AH39" s="396">
        <f>MAX('3-time of replacement'!AF33+R39,0)</f>
        <v>110975.7207158478</v>
      </c>
      <c r="AI39" s="396">
        <f>MAX('3-time of replacement'!AG33+J39,0)</f>
        <v>412149.46614663559</v>
      </c>
      <c r="AJ39" s="396">
        <f>'3-time of replacement'!AH33</f>
        <v>65791.591379581107</v>
      </c>
      <c r="AK39" s="396">
        <f>'3-time of replacement'!AI33</f>
        <v>61711.492689374521</v>
      </c>
      <c r="AL39" s="396">
        <f>'3-time of replacement'!AJ33</f>
        <v>19373.892728979958</v>
      </c>
      <c r="AM39" s="396">
        <f>'3-time of replacement'!AK33</f>
        <v>413326.49855931586</v>
      </c>
      <c r="AN39" s="445">
        <f t="shared" si="15"/>
        <v>246671.59974963655</v>
      </c>
      <c r="AO39" s="445">
        <f t="shared" si="16"/>
        <v>242525.98492251273</v>
      </c>
      <c r="AP39" s="445">
        <f t="shared" si="17"/>
        <v>412149.46614663559</v>
      </c>
      <c r="AQ39" s="445">
        <f t="shared" si="18"/>
        <v>180015.74780908992</v>
      </c>
      <c r="AR39" s="445">
        <f t="shared" si="19"/>
        <v>176260.24353113893</v>
      </c>
      <c r="AS39" s="445">
        <f t="shared" si="20"/>
        <v>180405.85835826281</v>
      </c>
      <c r="AT39" s="445">
        <f t="shared" si="21"/>
        <v>422931.84328077547</v>
      </c>
      <c r="AU39" s="344">
        <f t="shared" si="7"/>
        <v>0</v>
      </c>
      <c r="AV39" s="344">
        <f t="shared" si="8"/>
        <v>-825761.71515590663</v>
      </c>
      <c r="AW39" s="344">
        <f>O39*'Appliance Stock Profile'!$B$21+P39*'Appliance Stock Profile'!$B$20+Q39*'Appliance Stock Profile'!$C$21+R39*'Appliance Stock Profile'!$C$20+J39*'Appliance Stock Profile'!$D$20</f>
        <v>-246335.10013297343</v>
      </c>
      <c r="AX39" s="344">
        <f t="shared" si="9"/>
        <v>1250302.0621024943</v>
      </c>
      <c r="AY39" s="344">
        <f>GasEmissions*(AU39+AW39)+'stock-flow model'!$B8*(AV39+AX39)/1000</f>
        <v>-1296.1833099807038</v>
      </c>
      <c r="AZ39" s="344">
        <f>MAX(GasEmissions*(SUM($AU$33:$AU39)+SUM($AW$33:$AW39))+'stock-flow model'!$B8*(SUM($AV$33:$AV39)+SUM($AX$33:$AX39))/1000,-'3-time of replacement'!AW33)</f>
        <v>-7752.5348588963516</v>
      </c>
      <c r="BA39" s="343">
        <f>'3-time of replacement'!AW33+AZ39</f>
        <v>670665.05476252222</v>
      </c>
      <c r="BB39" s="446">
        <f>MAX(('3-time of replacement'!$Z33+'3-time of replacement'!$AG33)+SUM($J$33:$J39),0)</f>
        <v>408588.29976728652</v>
      </c>
      <c r="BC39" s="344">
        <f>'3-time of replacement'!AY33-SUM(J$33:J39)</f>
        <v>14343.543513488969</v>
      </c>
      <c r="BD39" s="344">
        <f t="shared" si="22"/>
        <v>242916.09547168555</v>
      </c>
      <c r="BE39" s="344">
        <f t="shared" si="23"/>
        <v>3755.5042779509895</v>
      </c>
      <c r="BF39" s="36">
        <f t="shared" si="24"/>
        <v>-1309.9715565765055</v>
      </c>
      <c r="BG39" s="36">
        <f t="shared" si="25"/>
        <v>-7752.5348588963516</v>
      </c>
      <c r="BH39" s="36">
        <f t="shared" si="26"/>
        <v>0</v>
      </c>
    </row>
    <row r="40" spans="1:60" hidden="1" x14ac:dyDescent="0.3">
      <c r="A40" s="257">
        <f t="shared" si="1"/>
        <v>1</v>
      </c>
      <c r="B40" s="342">
        <v>2027</v>
      </c>
      <c r="C40" s="343">
        <f>'3-time of replacement'!AX34+SUM(J$33:J39)</f>
        <v>408536.70281491277</v>
      </c>
      <c r="D40" s="343">
        <f>MAX('2-energy assessment'!BL43-SUM(G$33:G39),0)</f>
        <v>401899.04238034273</v>
      </c>
      <c r="E40" s="344">
        <f t="shared" si="10"/>
        <v>875.11722428413373</v>
      </c>
      <c r="F40" s="344">
        <f t="shared" si="2"/>
        <v>875.11722428413373</v>
      </c>
      <c r="G40" s="344">
        <f t="shared" si="11"/>
        <v>875.11722428413373</v>
      </c>
      <c r="H40" s="443">
        <f>-$G40*MAX(TrueRenovateFurnace=TRUE,TrueRenovateAllGas=TRUE,MIN($C$14+$C$16,1))*(MAX('3-time of replacement'!V34+SUM(H$33:H39),0)/C40)</f>
        <v>-498.85449853882187</v>
      </c>
      <c r="I40" s="443">
        <f>-$G40*MAX(TrueRenovateDHW=TRUE,TrueRenovateAllGas=TRUE,MIN($C$15+$C$16,1))*(MAX('3-time of replacement'!W34+SUM(I$33:I39),0)/C40)</f>
        <v>-471.24503236094461</v>
      </c>
      <c r="J40" s="443">
        <f t="shared" si="3"/>
        <v>-875.11722428413373</v>
      </c>
      <c r="K40" s="443">
        <f>('3-time of replacement'!AZ34/('3-time of replacement'!AE34+'3-time of replacement'!X34))*L40</f>
        <v>491.75190778322286</v>
      </c>
      <c r="L40" s="443">
        <f t="shared" si="12"/>
        <v>498.85449853882187</v>
      </c>
      <c r="M40" s="443">
        <f t="shared" si="12"/>
        <v>471.24503236094461</v>
      </c>
      <c r="N40" s="444">
        <v>0</v>
      </c>
      <c r="O40" s="443">
        <f t="shared" si="13"/>
        <v>-183.45813944980819</v>
      </c>
      <c r="P40" s="443">
        <f>MIN($H40*('3-time of replacement'!$AE34+SUM(P$33:P39))/('3-time of replacement'!$X34+'3-time of replacement'!$AE34+SUM(H$33:H39)),0)</f>
        <v>-315.39635908901369</v>
      </c>
      <c r="Q40" s="443">
        <f t="shared" si="14"/>
        <v>-290.9292087111711</v>
      </c>
      <c r="R40" s="443">
        <f>MIN($I40*('3-time of replacement'!$AF34+SUM(R$33:R39))/('3-time of replacement'!$Y34+'3-time of replacement'!$AF34+SUM(I$33:I39)),0)</f>
        <v>-180.31582364977348</v>
      </c>
      <c r="S40" s="347">
        <f>MAX($G40*'3-time of replacement'!AE34/'3-time of replacement'!$AX34+H40,0)</f>
        <v>0</v>
      </c>
      <c r="T40" s="347">
        <f>MAX($G40*'3-time of replacement'!AF34/'3-time of replacement'!$AX34+I40,0)</f>
        <v>0</v>
      </c>
      <c r="U40" s="347">
        <f t="shared" si="4"/>
        <v>0</v>
      </c>
      <c r="V40" s="347">
        <f>$G40*('3-time of replacement'!AH34-SUM(V$33:V39))/'3-time of replacement'!$AX34</f>
        <v>128.39942216949149</v>
      </c>
      <c r="W40" s="347">
        <f>$G40*('3-time of replacement'!AI34-SUM(W$33:W39))/'3-time of replacement'!$AX34</f>
        <v>120.43666730626722</v>
      </c>
      <c r="X40" s="347">
        <f>$G40*('3-time of replacement'!AJ34-SUM(X$33:X39))/'3-time of replacement'!$AX34</f>
        <v>36.399967254212463</v>
      </c>
      <c r="Y40" s="347">
        <f t="shared" si="5"/>
        <v>875.11722428413373</v>
      </c>
      <c r="Z40" s="394">
        <f>MAX('3-time of replacement'!X34+O40,0)</f>
        <v>86129.094520831059</v>
      </c>
      <c r="AA40" s="394">
        <f>MAX('3-time of replacement'!Y34+Q40,0)</f>
        <v>136723.59339617574</v>
      </c>
      <c r="AB40" s="394">
        <f>'3-time of replacement'!Z34</f>
        <v>0</v>
      </c>
      <c r="AC40" s="394">
        <f>'3-time of replacement'!AA34+K40</f>
        <v>131165.65804634435</v>
      </c>
      <c r="AD40" s="394">
        <f>'3-time of replacement'!AB34+L40</f>
        <v>131623.42609353858</v>
      </c>
      <c r="AE40" s="394">
        <f>'3-time of replacement'!AC34+M40</f>
        <v>184450.28510526064</v>
      </c>
      <c r="AF40" s="394">
        <f>'3-time of replacement'!AD34+N40</f>
        <v>11206.235508369573</v>
      </c>
      <c r="AG40" s="396">
        <f>MAX('3-time of replacement'!AE34+P40,0)</f>
        <v>149182.82027656623</v>
      </c>
      <c r="AH40" s="396">
        <f>MAX('3-time of replacement'!AF34+R40,0)</f>
        <v>85922.352110167136</v>
      </c>
      <c r="AI40" s="396">
        <f>MAX('3-time of replacement'!AG34+J40,0)</f>
        <v>412102.03078584379</v>
      </c>
      <c r="AJ40" s="396">
        <f>'3-time of replacement'!AH34</f>
        <v>61405.48528760903</v>
      </c>
      <c r="AK40" s="396">
        <f>'3-time of replacement'!AI34</f>
        <v>57597.393176749552</v>
      </c>
      <c r="AL40" s="396">
        <f>'3-time of replacement'!AJ34</f>
        <v>17436.503456081962</v>
      </c>
      <c r="AM40" s="396">
        <f>'3-time of replacement'!AK34</f>
        <v>413326.49855931586</v>
      </c>
      <c r="AN40" s="445">
        <f t="shared" si="15"/>
        <v>235311.91479739727</v>
      </c>
      <c r="AO40" s="445">
        <f t="shared" si="16"/>
        <v>222645.94550634286</v>
      </c>
      <c r="AP40" s="445">
        <f t="shared" si="17"/>
        <v>412102.03078584379</v>
      </c>
      <c r="AQ40" s="445">
        <f t="shared" si="18"/>
        <v>192571.1433339534</v>
      </c>
      <c r="AR40" s="445">
        <f t="shared" si="19"/>
        <v>189220.81927028814</v>
      </c>
      <c r="AS40" s="445">
        <f t="shared" si="20"/>
        <v>201886.7885613426</v>
      </c>
      <c r="AT40" s="445">
        <f t="shared" si="21"/>
        <v>424532.73406768544</v>
      </c>
      <c r="AU40" s="344">
        <f t="shared" si="7"/>
        <v>0</v>
      </c>
      <c r="AV40" s="344">
        <f t="shared" si="8"/>
        <v>-817734.2226029397</v>
      </c>
      <c r="AW40" s="344">
        <f>O40*'Appliance Stock Profile'!$B$21+P40*'Appliance Stock Profile'!$B$20+Q40*'Appliance Stock Profile'!$C$21+R40*'Appliance Stock Profile'!$C$20+J40*'Appliance Stock Profile'!$D$20</f>
        <v>-226444.52862439959</v>
      </c>
      <c r="AX40" s="344">
        <f t="shared" si="9"/>
        <v>1173350.7934274217</v>
      </c>
      <c r="AY40" s="344">
        <f>GasEmissions*(AU40+AW40)+'stock-flow model'!$B9*(AV40+AX40)/1000</f>
        <v>-1194.2551365289689</v>
      </c>
      <c r="AZ40" s="344">
        <f>MAX(GasEmissions*(SUM($AU$33:$AU40)+SUM($AW$33:$AW40))+'stock-flow model'!$B9*(SUM($AV$33:$AV40)+SUM($AX$33:$AX40))/1000,-'3-time of replacement'!AW34)</f>
        <v>-8962.9264222021338</v>
      </c>
      <c r="BA40" s="343">
        <f>'3-time of replacement'!AW34+AZ40</f>
        <v>607263.69889478688</v>
      </c>
      <c r="BB40" s="446">
        <f>MAX(('3-time of replacement'!$Z34+'3-time of replacement'!$AG34)+SUM($J$33:$J40),0)</f>
        <v>407661.58559062862</v>
      </c>
      <c r="BC40" s="344">
        <f>'3-time of replacement'!AY34-SUM(J$33:J40)</f>
        <v>16871.148477056788</v>
      </c>
      <c r="BD40" s="344">
        <f t="shared" si="22"/>
        <v>231961.59073373204</v>
      </c>
      <c r="BE40" s="344">
        <f t="shared" si="23"/>
        <v>3350.3240636652481</v>
      </c>
      <c r="BF40" s="36">
        <f t="shared" si="24"/>
        <v>-1210.3915633057823</v>
      </c>
      <c r="BG40" s="36">
        <f t="shared" si="25"/>
        <v>-8962.9264222021338</v>
      </c>
      <c r="BH40" s="36">
        <f t="shared" si="26"/>
        <v>0</v>
      </c>
    </row>
    <row r="41" spans="1:60" hidden="1" x14ac:dyDescent="0.3">
      <c r="A41" s="257">
        <f t="shared" si="1"/>
        <v>1</v>
      </c>
      <c r="B41" s="342">
        <v>2028</v>
      </c>
      <c r="C41" s="343">
        <f>'3-time of replacement'!AX35+SUM(J$33:J40)</f>
        <v>407612.36009968503</v>
      </c>
      <c r="D41" s="343">
        <f>MAX('2-energy assessment'!BL44-SUM(G$33:G40),0)</f>
        <v>400039.41533718683</v>
      </c>
      <c r="E41" s="344">
        <f t="shared" si="10"/>
        <v>871.0679694101442</v>
      </c>
      <c r="F41" s="344">
        <f t="shared" si="2"/>
        <v>871.0679694101442</v>
      </c>
      <c r="G41" s="344">
        <f t="shared" si="11"/>
        <v>871.0679694101442</v>
      </c>
      <c r="H41" s="443">
        <f>-$G41*MAX(TrueRenovateFurnace=TRUE,TrueRenovateAllGas=TRUE,MIN($C$14+$C$16,1))*(MAX('3-time of replacement'!V35+SUM(H$33:H40),0)/C41)</f>
        <v>-473.42750235144365</v>
      </c>
      <c r="I41" s="443">
        <f>-$G41*MAX(TrueRenovateDHW=TRUE,TrueRenovateAllGas=TRUE,MIN($C$15+$C$16,1))*(MAX('3-time of replacement'!W35+SUM(I$33:I40),0)/C41)</f>
        <v>-430.03635847213167</v>
      </c>
      <c r="J41" s="443">
        <f t="shared" si="3"/>
        <v>-871.0679694101442</v>
      </c>
      <c r="K41" s="443">
        <f>('3-time of replacement'!AZ35/('3-time of replacement'!AE35+'3-time of replacement'!X35))*L41</f>
        <v>467.12725276149507</v>
      </c>
      <c r="L41" s="443">
        <f t="shared" si="12"/>
        <v>473.42750235144365</v>
      </c>
      <c r="M41" s="443">
        <f t="shared" si="12"/>
        <v>430.03635847213167</v>
      </c>
      <c r="N41" s="444">
        <v>0</v>
      </c>
      <c r="O41" s="443">
        <f t="shared" si="13"/>
        <v>-195.37394277632899</v>
      </c>
      <c r="P41" s="443">
        <f>MIN($H41*('3-time of replacement'!$AE35+SUM(P$33:P40))/('3-time of replacement'!$X35+'3-time of replacement'!$AE35+SUM(H$33:H40)),0)</f>
        <v>-278.05355957511466</v>
      </c>
      <c r="Q41" s="443">
        <f t="shared" si="14"/>
        <v>-296.68573244614686</v>
      </c>
      <c r="R41" s="443">
        <f>MIN($I41*('3-time of replacement'!$AF35+SUM(R$33:R40))/('3-time of replacement'!$Y35+'3-time of replacement'!$AF35+SUM(I$33:I40)),0)</f>
        <v>-133.35062602598484</v>
      </c>
      <c r="S41" s="347">
        <f>MAX($G41*'3-time of replacement'!AE35/'3-time of replacement'!$AX35+H41,0)</f>
        <v>0</v>
      </c>
      <c r="T41" s="347">
        <f>MAX($G41*'3-time of replacement'!AF35/'3-time of replacement'!$AX35+I41,0)</f>
        <v>0</v>
      </c>
      <c r="U41" s="347">
        <f t="shared" si="4"/>
        <v>0</v>
      </c>
      <c r="V41" s="347">
        <f>$G41*('3-time of replacement'!AH35-SUM(V$33:V40))/'3-time of replacement'!$AX35</f>
        <v>118.91405994039479</v>
      </c>
      <c r="W41" s="347">
        <f>$G41*('3-time of replacement'!AI35-SUM(W$33:W40))/'3-time of replacement'!$AX35</f>
        <v>111.53954459525404</v>
      </c>
      <c r="X41" s="347">
        <f>$G41*('3-time of replacement'!AJ35-SUM(X$33:X40))/'3-time of replacement'!$AX35</f>
        <v>32.480859040323125</v>
      </c>
      <c r="Y41" s="347">
        <f t="shared" si="5"/>
        <v>871.0679694101442</v>
      </c>
      <c r="Z41" s="394">
        <f>MAX('3-time of replacement'!X35+O41,0)</f>
        <v>92080.035236188225</v>
      </c>
      <c r="AA41" s="394">
        <f>MAX('3-time of replacement'!Y35+Q41,0)</f>
        <v>140025.14045205314</v>
      </c>
      <c r="AB41" s="394">
        <f>'3-time of replacement'!Z35</f>
        <v>0</v>
      </c>
      <c r="AC41" s="394">
        <f>'3-time of replacement'!AA35+K41</f>
        <v>147318.33866162578</v>
      </c>
      <c r="AD41" s="394">
        <f>'3-time of replacement'!AB35+L41</f>
        <v>147885.09078924081</v>
      </c>
      <c r="AE41" s="394">
        <f>'3-time of replacement'!AC35+M41</f>
        <v>206043.18557535904</v>
      </c>
      <c r="AF41" s="394">
        <f>'3-time of replacement'!AD35+N41</f>
        <v>12807.126295279511</v>
      </c>
      <c r="AG41" s="396">
        <f>MAX('3-time of replacement'!AE35+P41,0)</f>
        <v>132410.93186420004</v>
      </c>
      <c r="AH41" s="396">
        <f>MAX('3-time of replacement'!AF35+R41,0)</f>
        <v>64372.445716709473</v>
      </c>
      <c r="AI41" s="396">
        <f>MAX('3-time of replacement'!AG35+J41,0)</f>
        <v>412056.8545497742</v>
      </c>
      <c r="AJ41" s="396">
        <f>'3-time of replacement'!AH35</f>
        <v>57311.786268435098</v>
      </c>
      <c r="AK41" s="396">
        <f>'3-time of replacement'!AI35</f>
        <v>53757.566964966252</v>
      </c>
      <c r="AL41" s="396">
        <f>'3-time of replacement'!AJ35</f>
        <v>15692.853110473767</v>
      </c>
      <c r="AM41" s="396">
        <f>'3-time of replacement'!AK35</f>
        <v>413326.49855931586</v>
      </c>
      <c r="AN41" s="445">
        <f t="shared" si="15"/>
        <v>224490.96710038825</v>
      </c>
      <c r="AO41" s="445">
        <f t="shared" si="16"/>
        <v>204397.58616876262</v>
      </c>
      <c r="AP41" s="445">
        <f t="shared" si="17"/>
        <v>412056.8545497742</v>
      </c>
      <c r="AQ41" s="445">
        <f t="shared" si="18"/>
        <v>204630.12493006088</v>
      </c>
      <c r="AR41" s="445">
        <f t="shared" si="19"/>
        <v>201642.65775420706</v>
      </c>
      <c r="AS41" s="445">
        <f t="shared" si="20"/>
        <v>221736.03868583281</v>
      </c>
      <c r="AT41" s="445">
        <f t="shared" si="21"/>
        <v>426133.6248545954</v>
      </c>
      <c r="AU41" s="344">
        <f t="shared" si="7"/>
        <v>0</v>
      </c>
      <c r="AV41" s="344">
        <f t="shared" si="8"/>
        <v>-810149.80922381196</v>
      </c>
      <c r="AW41" s="344">
        <f>O41*'Appliance Stock Profile'!$B$21+P41*'Appliance Stock Profile'!$B$20+Q41*'Appliance Stock Profile'!$C$21+R41*'Appliance Stock Profile'!$C$20+J41*'Appliance Stock Profile'!$D$20</f>
        <v>-208394.74199435994</v>
      </c>
      <c r="AX41" s="344">
        <f t="shared" si="9"/>
        <v>1101443.1388016518</v>
      </c>
      <c r="AY41" s="344">
        <f>GasEmissions*(AU41+AW41)+'stock-flow model'!$B10*(AV41+AX41)/1000</f>
        <v>-1101.2697805449313</v>
      </c>
      <c r="AZ41" s="344">
        <f>MAX(GasEmissions*(SUM($AU$33:$AU41)+SUM($AW$33:$AW41))+'stock-flow model'!$B10*(SUM($AV$33:$AV41)+SUM($AX$33:$AX41))/1000,-'3-time of replacement'!AW35)</f>
        <v>-10082.299584583998</v>
      </c>
      <c r="BA41" s="343">
        <f>'3-time of replacement'!AW35+AZ41</f>
        <v>547668.78885706339</v>
      </c>
      <c r="BB41" s="446">
        <f>MAX(('3-time of replacement'!$Z35+'3-time of replacement'!$AG35)+SUM($J$33:$J41),0)</f>
        <v>406741.29213027487</v>
      </c>
      <c r="BC41" s="344">
        <f>'3-time of replacement'!AY35-SUM(J$33:J41)</f>
        <v>19392.332724320462</v>
      </c>
      <c r="BD41" s="344">
        <f t="shared" si="22"/>
        <v>221503.49992453447</v>
      </c>
      <c r="BE41" s="344">
        <f t="shared" si="23"/>
        <v>2987.4671758538097</v>
      </c>
      <c r="BF41" s="36">
        <f t="shared" si="24"/>
        <v>-1119.3731623818639</v>
      </c>
      <c r="BG41" s="36">
        <f t="shared" si="25"/>
        <v>-10082.299584583998</v>
      </c>
      <c r="BH41" s="36">
        <f t="shared" si="26"/>
        <v>0</v>
      </c>
    </row>
    <row r="42" spans="1:60" hidden="1" x14ac:dyDescent="0.3">
      <c r="A42" s="257">
        <f t="shared" si="1"/>
        <v>1</v>
      </c>
      <c r="B42" s="342">
        <v>2029</v>
      </c>
      <c r="C42" s="343">
        <f>'3-time of replacement'!AX36+SUM(J$33:J41)</f>
        <v>406694.32910538372</v>
      </c>
      <c r="D42" s="343">
        <f>MAX('2-energy assessment'!BL45-SUM(G$33:G41),0)</f>
        <v>398229.08686995308</v>
      </c>
      <c r="E42" s="344">
        <f t="shared" si="10"/>
        <v>867.12605998457036</v>
      </c>
      <c r="F42" s="344">
        <f t="shared" si="2"/>
        <v>867.12605998457036</v>
      </c>
      <c r="G42" s="344">
        <f t="shared" si="11"/>
        <v>867.12605998457036</v>
      </c>
      <c r="H42" s="443">
        <f>-$G42*MAX(TrueRenovateFurnace=TRUE,TrueRenovateAllGas=TRUE,MIN($C$14+$C$16,1))*(MAX('3-time of replacement'!V36+SUM(H$33:H41),0)/C42)</f>
        <v>-449.30728069192281</v>
      </c>
      <c r="I42" s="443">
        <f>-$G42*MAX(TrueRenovateDHW=TRUE,TrueRenovateAllGas=TRUE,MIN($C$15+$C$16,1))*(MAX('3-time of replacement'!W36+SUM(I$33:I41),0)/C42)</f>
        <v>-392.34429597293234</v>
      </c>
      <c r="J42" s="443">
        <f t="shared" si="3"/>
        <v>-867.12605998457036</v>
      </c>
      <c r="K42" s="443">
        <f>('3-time of replacement'!AZ36/('3-time of replacement'!AE36+'3-time of replacement'!X36))*L42</f>
        <v>443.72155607586137</v>
      </c>
      <c r="L42" s="443">
        <f t="shared" si="12"/>
        <v>449.30728069192281</v>
      </c>
      <c r="M42" s="443">
        <f t="shared" si="12"/>
        <v>392.34429597293234</v>
      </c>
      <c r="N42" s="444">
        <v>0</v>
      </c>
      <c r="O42" s="443">
        <f t="shared" si="13"/>
        <v>-205.59788140572576</v>
      </c>
      <c r="P42" s="443">
        <f>MIN($H42*('3-time of replacement'!$AE36+SUM(P$33:P41))/('3-time of replacement'!$X36+'3-time of replacement'!$AE36+SUM(H$33:H41)),0)</f>
        <v>-243.70939928619705</v>
      </c>
      <c r="Q42" s="443">
        <f t="shared" si="14"/>
        <v>-299.03793557542855</v>
      </c>
      <c r="R42" s="443">
        <f>MIN($I42*('3-time of replacement'!$AF36+SUM(R$33:R41))/('3-time of replacement'!$Y36+'3-time of replacement'!$AF36+SUM(I$33:I41)),0)</f>
        <v>-93.306360397503781</v>
      </c>
      <c r="S42" s="347">
        <f>MAX($G42*'3-time of replacement'!AE36/'3-time of replacement'!$AX36+H42,0)</f>
        <v>0</v>
      </c>
      <c r="T42" s="347">
        <f>MAX($G42*'3-time of replacement'!AF36/'3-time of replacement'!$AX36+I42,0)</f>
        <v>0</v>
      </c>
      <c r="U42" s="347">
        <f t="shared" si="4"/>
        <v>0</v>
      </c>
      <c r="V42" s="347">
        <f>$G42*('3-time of replacement'!AH36-SUM(V$33:V41))/'3-time of replacement'!$AX36</f>
        <v>110.11529860955901</v>
      </c>
      <c r="W42" s="347">
        <f>$G42*('3-time of replacement'!AI36-SUM(W$33:W41))/'3-time of replacement'!$AX36</f>
        <v>103.28644288183442</v>
      </c>
      <c r="X42" s="347">
        <f>$G42*('3-time of replacement'!AJ36-SUM(X$33:X41))/'3-time of replacement'!$AX36</f>
        <v>28.973544798722614</v>
      </c>
      <c r="Y42" s="347">
        <f t="shared" si="5"/>
        <v>867.12605998457036</v>
      </c>
      <c r="Z42" s="394">
        <f>MAX('3-time of replacement'!X36+O42,0)</f>
        <v>97269.123287859227</v>
      </c>
      <c r="AA42" s="394">
        <f>MAX('3-time of replacement'!Y36+Q42,0)</f>
        <v>141739.71401731062</v>
      </c>
      <c r="AB42" s="394">
        <f>'3-time of replacement'!Z36</f>
        <v>0</v>
      </c>
      <c r="AC42" s="394">
        <f>'3-time of replacement'!AA36+K42</f>
        <v>162724.51895160225</v>
      </c>
      <c r="AD42" s="394">
        <f>'3-time of replacement'!AB36+L42</f>
        <v>163379.11401835468</v>
      </c>
      <c r="AE42" s="394">
        <f>'3-time of replacement'!AC36+M42</f>
        <v>225964.22565610096</v>
      </c>
      <c r="AF42" s="394">
        <f>'3-time of replacement'!AD36+N42</f>
        <v>14408.01708218945</v>
      </c>
      <c r="AG42" s="396">
        <f>MAX('3-time of replacement'!AE36+P42,0)</f>
        <v>116912.54916798953</v>
      </c>
      <c r="AH42" s="396">
        <f>MAX('3-time of replacement'!AF36+R42,0)</f>
        <v>45907.008168667351</v>
      </c>
      <c r="AI42" s="396">
        <f>MAX('3-time of replacement'!AG36+J42,0)</f>
        <v>412013.83343430865</v>
      </c>
      <c r="AJ42" s="396">
        <f>'3-time of replacement'!AH36</f>
        <v>53491.000517206092</v>
      </c>
      <c r="AK42" s="396">
        <f>'3-time of replacement'!AI36</f>
        <v>50173.729167301834</v>
      </c>
      <c r="AL42" s="396">
        <f>'3-time of replacement'!AJ36</f>
        <v>14123.56779942639</v>
      </c>
      <c r="AM42" s="396">
        <f>'3-time of replacement'!AK36</f>
        <v>413326.49855931586</v>
      </c>
      <c r="AN42" s="445">
        <f t="shared" si="15"/>
        <v>214181.67245584878</v>
      </c>
      <c r="AO42" s="445">
        <f t="shared" si="16"/>
        <v>187646.72218597797</v>
      </c>
      <c r="AP42" s="445">
        <f t="shared" si="17"/>
        <v>412013.83343430865</v>
      </c>
      <c r="AQ42" s="445">
        <f t="shared" si="18"/>
        <v>216215.51946880834</v>
      </c>
      <c r="AR42" s="445">
        <f t="shared" si="19"/>
        <v>213552.84318565653</v>
      </c>
      <c r="AS42" s="445">
        <f t="shared" si="20"/>
        <v>240087.79345552734</v>
      </c>
      <c r="AT42" s="445">
        <f t="shared" si="21"/>
        <v>427734.51564150531</v>
      </c>
      <c r="AU42" s="344">
        <f t="shared" si="7"/>
        <v>0</v>
      </c>
      <c r="AV42" s="344">
        <f t="shared" si="8"/>
        <v>-802975.7749380247</v>
      </c>
      <c r="AW42" s="344">
        <f>O42*'Appliance Stock Profile'!$B$21+P42*'Appliance Stock Profile'!$B$20+Q42*'Appliance Stock Profile'!$C$21+R42*'Appliance Stock Profile'!$C$20+J42*'Appliance Stock Profile'!$D$20</f>
        <v>-192005.40508210351</v>
      </c>
      <c r="AX42" s="344">
        <f t="shared" si="9"/>
        <v>1034211.5250693974</v>
      </c>
      <c r="AY42" s="344">
        <f>GasEmissions*(AU42+AW42)+'stock-flow model'!$B11*(AV42+AX42)/1000</f>
        <v>-1016.3496561171836</v>
      </c>
      <c r="AZ42" s="344">
        <f>MAX(GasEmissions*(SUM($AU$33:$AU42)+SUM($AW$33:$AW42))+'stock-flow model'!$B11*(SUM($AV$33:$AV42)+SUM($AX$33:$AX42))/1000,-'3-time of replacement'!AW36)</f>
        <v>-11118.363798550703</v>
      </c>
      <c r="BA42" s="343">
        <f>'3-time of replacement'!AW36+AZ42</f>
        <v>491506.44292733533</v>
      </c>
      <c r="BB42" s="446">
        <f>MAX(('3-time of replacement'!$Z36+'3-time of replacement'!$AG36)+SUM($J$33:$J42),0)</f>
        <v>405827.20304539916</v>
      </c>
      <c r="BC42" s="344">
        <f>'3-time of replacement'!AY36-SUM(J$33:J42)</f>
        <v>21907.312596106149</v>
      </c>
      <c r="BD42" s="344">
        <f t="shared" si="22"/>
        <v>211518.99617269693</v>
      </c>
      <c r="BE42" s="344">
        <f t="shared" si="23"/>
        <v>2662.6762831518281</v>
      </c>
      <c r="BF42" s="36">
        <f t="shared" si="24"/>
        <v>-1036.0642139667052</v>
      </c>
      <c r="BG42" s="36">
        <f t="shared" si="25"/>
        <v>-11118.363798550703</v>
      </c>
      <c r="BH42" s="36">
        <f t="shared" si="26"/>
        <v>0</v>
      </c>
    </row>
    <row r="43" spans="1:60" hidden="1" x14ac:dyDescent="0.3">
      <c r="A43" s="257">
        <f t="shared" si="1"/>
        <v>1</v>
      </c>
      <c r="B43" s="342">
        <v>2030</v>
      </c>
      <c r="C43" s="343">
        <f>'3-time of replacement'!AX37+SUM(J$33:J42)</f>
        <v>405782.39850074856</v>
      </c>
      <c r="D43" s="343">
        <f>MAX('2-energy assessment'!BL46-SUM(G$33:G42),0)</f>
        <v>396465.86991695658</v>
      </c>
      <c r="E43" s="344">
        <f t="shared" si="10"/>
        <v>863.28673377822236</v>
      </c>
      <c r="F43" s="344">
        <f t="shared" si="2"/>
        <v>863.28673377822236</v>
      </c>
      <c r="G43" s="344">
        <f t="shared" si="11"/>
        <v>863.28673377822236</v>
      </c>
      <c r="H43" s="443">
        <f>-$G43*MAX(TrueRenovateFurnace=TRUE,TrueRenovateAllGas=TRUE,MIN($C$14+$C$16,1))*(MAX('3-time of replacement'!V37+SUM(H$33:H42),0)/C43)</f>
        <v>-426.42007115703518</v>
      </c>
      <c r="I43" s="443">
        <f>-$G43*MAX(TrueRenovateDHW=TRUE,TrueRenovateAllGas=TRUE,MIN($C$15+$C$16,1))*(MAX('3-time of replacement'!W37+SUM(I$33:I42),0)/C43)</f>
        <v>-357.8640197059637</v>
      </c>
      <c r="J43" s="443">
        <f t="shared" si="3"/>
        <v>-863.28673377822236</v>
      </c>
      <c r="K43" s="443">
        <f>('3-time of replacement'!AZ37/('3-time of replacement'!AE37+'3-time of replacement'!X37))*L43</f>
        <v>421.47037920691338</v>
      </c>
      <c r="L43" s="443">
        <f t="shared" si="12"/>
        <v>426.42007115703518</v>
      </c>
      <c r="M43" s="443">
        <f t="shared" si="12"/>
        <v>357.8640197059637</v>
      </c>
      <c r="N43" s="444">
        <v>0</v>
      </c>
      <c r="O43" s="443">
        <f t="shared" si="13"/>
        <v>-214.27459873814996</v>
      </c>
      <c r="P43" s="443">
        <f>MIN($H43*('3-time of replacement'!$AE37+SUM(P$33:P42))/('3-time of replacement'!$X37+'3-time of replacement'!$AE37+SUM(H$33:H42)),0)</f>
        <v>-212.14547241888522</v>
      </c>
      <c r="Q43" s="443">
        <f t="shared" si="14"/>
        <v>-298.54808218061885</v>
      </c>
      <c r="R43" s="443">
        <f>MIN($I43*('3-time of replacement'!$AF37+SUM(R$33:R42))/('3-time of replacement'!$Y37+'3-time of replacement'!$AF37+SUM(I$33:I42)),0)</f>
        <v>-59.315937525344857</v>
      </c>
      <c r="S43" s="347">
        <f>MAX($G43*'3-time of replacement'!AE37/'3-time of replacement'!$AX37+H43,0)</f>
        <v>0</v>
      </c>
      <c r="T43" s="347">
        <f>MAX($G43*'3-time of replacement'!AF37/'3-time of replacement'!$AX37+I43,0)</f>
        <v>0</v>
      </c>
      <c r="U43" s="347">
        <f t="shared" si="4"/>
        <v>0</v>
      </c>
      <c r="V43" s="347">
        <f>$G43*('3-time of replacement'!AH37-SUM(V$33:V42))/'3-time of replacement'!$AX37</f>
        <v>101.95233577820522</v>
      </c>
      <c r="W43" s="347">
        <f>$G43*('3-time of replacement'!AI37-SUM(W$33:W42))/'3-time of replacement'!$AX37</f>
        <v>95.629710303587856</v>
      </c>
      <c r="X43" s="347">
        <f>$G43*('3-time of replacement'!AJ37-SUM(X$33:X42))/'3-time of replacement'!$AX37</f>
        <v>25.834407296318595</v>
      </c>
      <c r="Y43" s="347">
        <f t="shared" si="5"/>
        <v>863.28673377822236</v>
      </c>
      <c r="Z43" s="394">
        <f>MAX('3-time of replacement'!X37+O43,0)</f>
        <v>101756.14613762131</v>
      </c>
      <c r="AA43" s="394">
        <f>MAX('3-time of replacement'!Y37+Q43,0)</f>
        <v>142116.85367111425</v>
      </c>
      <c r="AB43" s="394">
        <f>'3-time of replacement'!Z37</f>
        <v>0</v>
      </c>
      <c r="AC43" s="394">
        <f>'3-time of replacement'!AA37+K43</f>
        <v>177424.12363889039</v>
      </c>
      <c r="AD43" s="394">
        <f>'3-time of replacement'!AB37+L43</f>
        <v>178148.14280851831</v>
      </c>
      <c r="AE43" s="394">
        <f>'3-time of replacement'!AC37+M43</f>
        <v>244353.95691143937</v>
      </c>
      <c r="AF43" s="394">
        <f>'3-time of replacement'!AD37+N43</f>
        <v>16008.907869099388</v>
      </c>
      <c r="AG43" s="396">
        <f>MAX('3-time of replacement'!AE37+P43,0)</f>
        <v>102602.30359279389</v>
      </c>
      <c r="AH43" s="396">
        <f>MAX('3-time of replacement'!AF37+R43,0)</f>
        <v>30153.384826377893</v>
      </c>
      <c r="AI43" s="396">
        <f>MAX('3-time of replacement'!AG37+J43,0)</f>
        <v>411972.86821586441</v>
      </c>
      <c r="AJ43" s="396">
        <f>'3-time of replacement'!AH37</f>
        <v>49924.93381605902</v>
      </c>
      <c r="AK43" s="396">
        <f>'3-time of replacement'!AI37</f>
        <v>46828.813889481709</v>
      </c>
      <c r="AL43" s="396">
        <f>'3-time of replacement'!AJ37</f>
        <v>12711.211019483751</v>
      </c>
      <c r="AM43" s="396">
        <f>'3-time of replacement'!AK37</f>
        <v>413326.49855931586</v>
      </c>
      <c r="AN43" s="445">
        <f t="shared" si="15"/>
        <v>204358.44973041519</v>
      </c>
      <c r="AO43" s="445">
        <f t="shared" si="16"/>
        <v>172270.23849749216</v>
      </c>
      <c r="AP43" s="445">
        <f t="shared" si="17"/>
        <v>411972.86821586441</v>
      </c>
      <c r="AQ43" s="445">
        <f t="shared" si="18"/>
        <v>227349.05745494942</v>
      </c>
      <c r="AR43" s="445">
        <f t="shared" si="19"/>
        <v>224976.95669800002</v>
      </c>
      <c r="AS43" s="445">
        <f t="shared" si="20"/>
        <v>257065.16793092311</v>
      </c>
      <c r="AT43" s="445">
        <f t="shared" si="21"/>
        <v>429335.40642841527</v>
      </c>
      <c r="AU43" s="344">
        <f t="shared" si="7"/>
        <v>0</v>
      </c>
      <c r="AV43" s="344">
        <f t="shared" si="8"/>
        <v>-796182.07499698375</v>
      </c>
      <c r="AW43" s="344">
        <f>O43*'Appliance Stock Profile'!$B$21+P43*'Appliance Stock Profile'!$B$20+Q43*'Appliance Stock Profile'!$C$21+R43*'Appliance Stock Profile'!$C$20+J43*'Appliance Stock Profile'!$D$20</f>
        <v>-177114.47183426039</v>
      </c>
      <c r="AX43" s="344">
        <f t="shared" si="9"/>
        <v>971317.80482325773</v>
      </c>
      <c r="AY43" s="344">
        <f>GasEmissions*(AU43+AW43)+'stock-flow model'!$B12*(AV43+AX43)/1000</f>
        <v>-938.70670072158009</v>
      </c>
      <c r="AZ43" s="344">
        <f>MAX(GasEmissions*(SUM($AU$33:$AU43)+SUM($AW$33:$AW43))+'stock-flow model'!$B12*(SUM($AV$33:$AV43)+SUM($AX$33:$AX43))/1000,-'3-time of replacement'!AW37)</f>
        <v>-12078.064047939768</v>
      </c>
      <c r="BA43" s="343">
        <f>'3-time of replacement'!AW37+AZ43</f>
        <v>438439.12647299288</v>
      </c>
      <c r="BB43" s="446">
        <f>MAX(('3-time of replacement'!$Z37+'3-time of replacement'!$AG37)+SUM($J$33:$J43),0)</f>
        <v>404919.11176697037</v>
      </c>
      <c r="BC43" s="344">
        <f>'3-time of replacement'!AY37-SUM(J$33:J43)</f>
        <v>24416.294661444907</v>
      </c>
      <c r="BD43" s="344">
        <f t="shared" si="22"/>
        <v>201986.34897346579</v>
      </c>
      <c r="BE43" s="344">
        <f t="shared" si="23"/>
        <v>2372.1007569493886</v>
      </c>
      <c r="BF43" s="36">
        <f t="shared" si="24"/>
        <v>-959.70024938906499</v>
      </c>
      <c r="BG43" s="36">
        <f t="shared" si="25"/>
        <v>-12078.064047939768</v>
      </c>
      <c r="BH43" s="36">
        <f t="shared" si="26"/>
        <v>0</v>
      </c>
    </row>
    <row r="44" spans="1:60" hidden="1" x14ac:dyDescent="0.3">
      <c r="A44" s="257">
        <f t="shared" si="1"/>
        <v>1</v>
      </c>
      <c r="B44" s="342">
        <v>2031</v>
      </c>
      <c r="C44" s="343">
        <f>'3-time of replacement'!AX38+SUM(J$33:J43)</f>
        <v>404876.36649606843</v>
      </c>
      <c r="D44" s="343">
        <f>MAX('2-energy assessment'!BL47-SUM(G$33:G43),0)</f>
        <v>394747.67776513984</v>
      </c>
      <c r="E44" s="344">
        <f t="shared" si="10"/>
        <v>859.54544706656691</v>
      </c>
      <c r="F44" s="344">
        <f t="shared" si="2"/>
        <v>859.54544706656691</v>
      </c>
      <c r="G44" s="344">
        <f t="shared" si="11"/>
        <v>859.54544706656691</v>
      </c>
      <c r="H44" s="443">
        <f>-$G44*MAX(TrueRenovateFurnace=TRUE,TrueRenovateAllGas=TRUE,MIN($C$14+$C$16,1))*(MAX('3-time of replacement'!V38+SUM(H$33:H43),0)/C44)</f>
        <v>-404.69684425964635</v>
      </c>
      <c r="I44" s="443">
        <f>-$G44*MAX(TrueRenovateDHW=TRUE,TrueRenovateAllGas=TRUE,MIN($C$15+$C$16,1))*(MAX('3-time of replacement'!W38+SUM(I$33:I43),0)/C44)</f>
        <v>-326.3177254988048</v>
      </c>
      <c r="J44" s="443">
        <f t="shared" si="3"/>
        <v>-859.54544706656691</v>
      </c>
      <c r="K44" s="443">
        <f>('3-time of replacement'!AZ38/('3-time of replacement'!AE38+'3-time of replacement'!X38))*L44</f>
        <v>400.31305987994989</v>
      </c>
      <c r="L44" s="443">
        <f t="shared" si="12"/>
        <v>404.69684425964635</v>
      </c>
      <c r="M44" s="443">
        <f t="shared" si="12"/>
        <v>326.3177254988048</v>
      </c>
      <c r="N44" s="444">
        <v>0</v>
      </c>
      <c r="O44" s="443">
        <f t="shared" si="13"/>
        <v>-221.53754273599648</v>
      </c>
      <c r="P44" s="443">
        <f>MIN($H44*('3-time of replacement'!$AE38+SUM(P$33:P43))/('3-time of replacement'!$X38+'3-time of replacement'!$AE38+SUM(H$33:H43)),0)</f>
        <v>-183.15930152364987</v>
      </c>
      <c r="Q44" s="443">
        <f t="shared" si="14"/>
        <v>-295.70422825867377</v>
      </c>
      <c r="R44" s="443">
        <f>MIN($I44*('3-time of replacement'!$AF38+SUM(R$33:R43))/('3-time of replacement'!$Y38+'3-time of replacement'!$AF38+SUM(I$33:I43)),0)</f>
        <v>-30.613497240131068</v>
      </c>
      <c r="S44" s="347">
        <f>MAX($G44*'3-time of replacement'!AE38/'3-time of replacement'!$AX38+H44,0)</f>
        <v>0</v>
      </c>
      <c r="T44" s="347">
        <f>MAX($G44*'3-time of replacement'!AF38/'3-time of replacement'!$AX38+I44,0)</f>
        <v>0</v>
      </c>
      <c r="U44" s="347">
        <f t="shared" si="4"/>
        <v>0</v>
      </c>
      <c r="V44" s="347">
        <f>$G44*('3-time of replacement'!AH38-SUM(V$33:V43))/'3-time of replacement'!$AX38</f>
        <v>94.378253196405879</v>
      </c>
      <c r="W44" s="347">
        <f>$G44*('3-time of replacement'!AI38-SUM(W$33:W43))/'3-time of replacement'!$AX38</f>
        <v>88.525338269496984</v>
      </c>
      <c r="X44" s="347">
        <f>$G44*('3-time of replacement'!AJ38-SUM(X$33:X43))/'3-time of replacement'!$AX38</f>
        <v>23.024504869231784</v>
      </c>
      <c r="Y44" s="347">
        <f t="shared" si="5"/>
        <v>859.54544706656691</v>
      </c>
      <c r="Z44" s="394">
        <f>MAX('3-time of replacement'!X38+O44,0)</f>
        <v>105596.78898979574</v>
      </c>
      <c r="AA44" s="394">
        <f>MAX('3-time of replacement'!Y38+Q44,0)</f>
        <v>141374.80304787363</v>
      </c>
      <c r="AB44" s="394">
        <f>'3-time of replacement'!Z38</f>
        <v>0</v>
      </c>
      <c r="AC44" s="394">
        <f>'3-time of replacement'!AA38+K44</f>
        <v>191454.82737075578</v>
      </c>
      <c r="AD44" s="394">
        <f>'3-time of replacement'!AB38+L44</f>
        <v>192232.27831753911</v>
      </c>
      <c r="AE44" s="394">
        <f>'3-time of replacement'!AC38+M44</f>
        <v>261341.03537357741</v>
      </c>
      <c r="AF44" s="394">
        <f>'3-time of replacement'!AD38+N44</f>
        <v>17609.798656009327</v>
      </c>
      <c r="AG44" s="396">
        <f>MAX('3-time of replacement'!AE38+P44,0)</f>
        <v>89400.336944474053</v>
      </c>
      <c r="AH44" s="396">
        <f>MAX('3-time of replacement'!AF38+R44,0)</f>
        <v>16780.36887633878</v>
      </c>
      <c r="AI44" s="396">
        <f>MAX('3-time of replacement'!AG38+J44,0)</f>
        <v>411933.86423167412</v>
      </c>
      <c r="AJ44" s="396">
        <f>'3-time of replacement'!AH38</f>
        <v>46596.604894988421</v>
      </c>
      <c r="AK44" s="396">
        <f>'3-time of replacement'!AI38</f>
        <v>43706.892963516264</v>
      </c>
      <c r="AL44" s="396">
        <f>'3-time of replacement'!AJ38</f>
        <v>11440.089917535377</v>
      </c>
      <c r="AM44" s="396">
        <f>'3-time of replacement'!AK38</f>
        <v>413326.49855931586</v>
      </c>
      <c r="AN44" s="445">
        <f t="shared" si="15"/>
        <v>194997.1259342698</v>
      </c>
      <c r="AO44" s="445">
        <f t="shared" si="16"/>
        <v>158155.17192421242</v>
      </c>
      <c r="AP44" s="445">
        <f t="shared" si="17"/>
        <v>411933.86423167412</v>
      </c>
      <c r="AQ44" s="445">
        <f t="shared" si="18"/>
        <v>238051.4322657442</v>
      </c>
      <c r="AR44" s="445">
        <f t="shared" si="19"/>
        <v>235939.17128105537</v>
      </c>
      <c r="AS44" s="445">
        <f t="shared" si="20"/>
        <v>272781.12529111281</v>
      </c>
      <c r="AT44" s="445">
        <f t="shared" si="21"/>
        <v>430936.29721532518</v>
      </c>
      <c r="AU44" s="344">
        <f t="shared" si="7"/>
        <v>0</v>
      </c>
      <c r="AV44" s="344">
        <f t="shared" si="8"/>
        <v>-789741.08562783489</v>
      </c>
      <c r="AW44" s="344">
        <f>O44*'Appliance Stock Profile'!$B$21+P44*'Appliance Stock Profile'!$B$20+Q44*'Appliance Stock Profile'!$C$21+R44*'Appliance Stock Profile'!$C$20+J44*'Appliance Stock Profile'!$D$20</f>
        <v>-163576.28526231891</v>
      </c>
      <c r="AX44" s="344">
        <f t="shared" si="9"/>
        <v>912450.71473720588</v>
      </c>
      <c r="AY44" s="344">
        <f>GasEmissions*(AU44+AW44)+'stock-flow model'!$B13*(AV44+AX44)/1000</f>
        <v>-866.95431189029023</v>
      </c>
      <c r="AZ44" s="344">
        <f>MAX(GasEmissions*(SUM($AU$33:$AU44)+SUM($AW$33:$AW44))+'stock-flow model'!$B13*(SUM($AV$33:$AV44)+SUM($AX$33:$AX44))/1000,-'3-time of replacement'!AW38)</f>
        <v>-12945.018359830057</v>
      </c>
      <c r="BA44" s="343">
        <f>'3-time of replacement'!AW38+AZ44</f>
        <v>405534.38162683783</v>
      </c>
      <c r="BB44" s="446">
        <f>MAX(('3-time of replacement'!$Z38+'3-time of replacement'!$AG38)+SUM($J$33:$J44),0)</f>
        <v>404016.82104900182</v>
      </c>
      <c r="BC44" s="344">
        <f>'3-time of replacement'!AY38-SUM(J$33:J44)</f>
        <v>26919.476166323337</v>
      </c>
      <c r="BD44" s="344">
        <f t="shared" si="22"/>
        <v>192884.86494958098</v>
      </c>
      <c r="BE44" s="344">
        <f t="shared" si="23"/>
        <v>2112.2609846888299</v>
      </c>
      <c r="BF44" s="36">
        <f t="shared" si="24"/>
        <v>-866.95431189028932</v>
      </c>
      <c r="BG44" s="36">
        <f t="shared" si="25"/>
        <v>-12945.018359830057</v>
      </c>
      <c r="BH44" s="36">
        <f t="shared" si="26"/>
        <v>0</v>
      </c>
    </row>
    <row r="45" spans="1:60" hidden="1" x14ac:dyDescent="0.3">
      <c r="A45" s="257">
        <f t="shared" si="1"/>
        <v>1</v>
      </c>
      <c r="B45" s="342">
        <v>2032</v>
      </c>
      <c r="C45" s="343">
        <f>'3-time of replacement'!AX39+SUM(J$33:J44)</f>
        <v>403976.04040501296</v>
      </c>
      <c r="D45" s="343">
        <f>MAX('2-energy assessment'!BL48-SUM(G$33:G44),0)</f>
        <v>393072.51943829603</v>
      </c>
      <c r="E45" s="344">
        <f t="shared" si="10"/>
        <v>855.89786458778929</v>
      </c>
      <c r="F45" s="344">
        <f t="shared" si="2"/>
        <v>855.89786458778929</v>
      </c>
      <c r="G45" s="344">
        <f t="shared" si="11"/>
        <v>855.89786458778929</v>
      </c>
      <c r="H45" s="443">
        <f>-$G45*MAX(TrueRenovateFurnace=TRUE,TrueRenovateAllGas=TRUE,MIN($C$14+$C$16,1))*(MAX('3-time of replacement'!V39+SUM(H$33:H44),0)/C45)</f>
        <v>-384.07295609224258</v>
      </c>
      <c r="I45" s="443">
        <f>-$G45*MAX(TrueRenovateDHW=TRUE,TrueRenovateAllGas=TRUE,MIN($C$15+$C$16,1))*(MAX('3-time of replacement'!W39+SUM(I$33:I44),0)/C45)</f>
        <v>-297.45216467017019</v>
      </c>
      <c r="J45" s="443">
        <f t="shared" si="3"/>
        <v>-855.89786458778929</v>
      </c>
      <c r="K45" s="443">
        <f>('3-time of replacement'!AZ39/('3-time of replacement'!AE39+'3-time of replacement'!X39))*L45</f>
        <v>380.19245832320109</v>
      </c>
      <c r="L45" s="443">
        <f t="shared" si="12"/>
        <v>384.07295609224258</v>
      </c>
      <c r="M45" s="443">
        <f t="shared" si="12"/>
        <v>297.45216467017019</v>
      </c>
      <c r="N45" s="444">
        <v>0</v>
      </c>
      <c r="O45" s="443">
        <f t="shared" si="13"/>
        <v>-227.50984954836662</v>
      </c>
      <c r="P45" s="443">
        <f>MIN($H45*('3-time of replacement'!$AE39+SUM(P$33:P44))/('3-time of replacement'!$X39+'3-time of replacement'!$AE39+SUM(H$33:H44)),0)</f>
        <v>-156.56310654387596</v>
      </c>
      <c r="Q45" s="443">
        <f t="shared" si="14"/>
        <v>-290.92920011660721</v>
      </c>
      <c r="R45" s="443">
        <f>MIN($I45*('3-time of replacement'!$AF39+SUM(R$33:R44))/('3-time of replacement'!$Y39+'3-time of replacement'!$AF39+SUM(I$33:I44)),0)</f>
        <v>-6.5229645535630016</v>
      </c>
      <c r="S45" s="347">
        <f>MAX($G45*'3-time of replacement'!AE39/'3-time of replacement'!$AX39+H45,0)</f>
        <v>0</v>
      </c>
      <c r="T45" s="347">
        <f>MAX($G45*'3-time of replacement'!AF39/'3-time of replacement'!$AX39+I45,0)</f>
        <v>0</v>
      </c>
      <c r="U45" s="347">
        <f t="shared" si="4"/>
        <v>0</v>
      </c>
      <c r="V45" s="347">
        <f>$G45*('3-time of replacement'!AH39-SUM(V$33:V44))/'3-time of replacement'!$AX39</f>
        <v>87.349707030513173</v>
      </c>
      <c r="W45" s="347">
        <f>$G45*('3-time of replacement'!AI39-SUM(W$33:W44))/'3-time of replacement'!$AX39</f>
        <v>81.932670935597613</v>
      </c>
      <c r="X45" s="347">
        <f>$G45*('3-time of replacement'!AJ39-SUM(X$33:X44))/'3-time of replacement'!$AX39</f>
        <v>20.509062593361733</v>
      </c>
      <c r="Y45" s="347">
        <f t="shared" si="5"/>
        <v>855.89786458778929</v>
      </c>
      <c r="Z45" s="394">
        <f>MAX('3-time of replacement'!X39+O45,0)</f>
        <v>108842.90913753453</v>
      </c>
      <c r="AA45" s="394">
        <f>MAX('3-time of replacement'!Y39+Q45,0)</f>
        <v>139704.05907814842</v>
      </c>
      <c r="AB45" s="394">
        <f>'3-time of replacement'!Z39</f>
        <v>0</v>
      </c>
      <c r="AC45" s="394">
        <f>'3-time of replacement'!AA39+K45</f>
        <v>204852.19071411371</v>
      </c>
      <c r="AD45" s="394">
        <f>'3-time of replacement'!AB39+L45</f>
        <v>205669.23988652666</v>
      </c>
      <c r="AE45" s="394">
        <f>'3-time of replacement'!AC39+M45</f>
        <v>277043.23699372791</v>
      </c>
      <c r="AF45" s="394">
        <f>'3-time of replacement'!AD39+N45</f>
        <v>19210.689442919265</v>
      </c>
      <c r="AG45" s="396">
        <f>MAX('3-time of replacement'!AE39+P45,0)</f>
        <v>77231.938878892019</v>
      </c>
      <c r="AH45" s="396">
        <f>MAX('3-time of replacement'!AF39+R45,0)</f>
        <v>5493.811004576909</v>
      </c>
      <c r="AI45" s="396">
        <f>MAX('3-time of replacement'!AG39+J45,0)</f>
        <v>411896.73117016401</v>
      </c>
      <c r="AJ45" s="396">
        <f>'3-time of replacement'!AH39</f>
        <v>43490.164568655862</v>
      </c>
      <c r="AK45" s="396">
        <f>'3-time of replacement'!AI39</f>
        <v>40793.100099281844</v>
      </c>
      <c r="AL45" s="396">
        <f>'3-time of replacement'!AJ39</f>
        <v>10296.08092578184</v>
      </c>
      <c r="AM45" s="396">
        <f>'3-time of replacement'!AK39</f>
        <v>413326.49855931586</v>
      </c>
      <c r="AN45" s="445">
        <f t="shared" si="15"/>
        <v>186074.84801642655</v>
      </c>
      <c r="AO45" s="445">
        <f t="shared" si="16"/>
        <v>145197.87008272533</v>
      </c>
      <c r="AP45" s="445">
        <f t="shared" si="17"/>
        <v>411896.73117016401</v>
      </c>
      <c r="AQ45" s="445">
        <f t="shared" si="18"/>
        <v>248342.35528276957</v>
      </c>
      <c r="AR45" s="445">
        <f t="shared" si="19"/>
        <v>246462.3399858085</v>
      </c>
      <c r="AS45" s="445">
        <f t="shared" si="20"/>
        <v>287339.31791950978</v>
      </c>
      <c r="AT45" s="445">
        <f t="shared" si="21"/>
        <v>432537.18800223514</v>
      </c>
      <c r="AU45" s="344">
        <f t="shared" si="7"/>
        <v>0</v>
      </c>
      <c r="AV45" s="344">
        <f t="shared" si="8"/>
        <v>-783627.3919488996</v>
      </c>
      <c r="AW45" s="344">
        <f>O45*'Appliance Stock Profile'!$B$21+P45*'Appliance Stock Profile'!$B$20+Q45*'Appliance Stock Profile'!$C$21+R45*'Appliance Stock Profile'!$C$20+J45*'Appliance Stock Profile'!$D$20</f>
        <v>-151259.87898799134</v>
      </c>
      <c r="AX45" s="344">
        <f t="shared" si="9"/>
        <v>857323.56730430957</v>
      </c>
      <c r="AY45" s="344">
        <f>GasEmissions*(AU45+AW45)+'stock-flow model'!$B14*(AV45+AX45)/1000</f>
        <v>-801.67735863635414</v>
      </c>
      <c r="AZ45" s="344">
        <f>MAX(GasEmissions*(SUM($AU$33:$AU45)+SUM($AW$33:$AW45))+'stock-flow model'!$B14*(SUM($AV$33:$AV45)+SUM($AX$33:$AX45))/1000,-'3-time of replacement'!AW39)</f>
        <v>-13746.69571846641</v>
      </c>
      <c r="BA45" s="343">
        <f>'3-time of replacement'!AW39+AZ45</f>
        <v>375519.69971150649</v>
      </c>
      <c r="BB45" s="446">
        <f>MAX(('3-time of replacement'!$Z39+'3-time of replacement'!$AG39)+SUM($J$33:$J45),0)</f>
        <v>403120.14254042518</v>
      </c>
      <c r="BC45" s="344">
        <f>'3-time of replacement'!AY39-SUM(J$33:J45)</f>
        <v>29417.045461809925</v>
      </c>
      <c r="BD45" s="344">
        <f t="shared" si="22"/>
        <v>184194.83271946546</v>
      </c>
      <c r="BE45" s="344">
        <f t="shared" si="23"/>
        <v>1880.0152969610645</v>
      </c>
      <c r="BF45" s="36">
        <f t="shared" si="24"/>
        <v>-801.67735863635244</v>
      </c>
      <c r="BG45" s="36">
        <f t="shared" si="25"/>
        <v>-13746.69571846641</v>
      </c>
      <c r="BH45" s="36">
        <f t="shared" si="26"/>
        <v>0</v>
      </c>
    </row>
    <row r="46" spans="1:60" hidden="1" x14ac:dyDescent="0.3">
      <c r="A46" s="257">
        <f t="shared" si="1"/>
        <v>1</v>
      </c>
      <c r="B46" s="342">
        <v>2033</v>
      </c>
      <c r="C46" s="343">
        <f>'3-time of replacement'!AX40+SUM(J$33:J45)</f>
        <v>403081.23622660252</v>
      </c>
      <c r="D46" s="343">
        <f>MAX('2-energy assessment'!BL49-SUM(G$33:G45),0)</f>
        <v>391438.49529725447</v>
      </c>
      <c r="E46" s="344">
        <f t="shared" si="10"/>
        <v>852.33984996239417</v>
      </c>
      <c r="F46" s="344">
        <f t="shared" si="2"/>
        <v>852.33984996239417</v>
      </c>
      <c r="G46" s="344">
        <f t="shared" si="11"/>
        <v>852.33984996239417</v>
      </c>
      <c r="H46" s="443">
        <f>-$G46*MAX(TrueRenovateFurnace=TRUE,TrueRenovateAllGas=TRUE,MIN($C$14+$C$16,1))*(MAX('3-time of replacement'!V40+SUM(H$33:H45),0)/C46)</f>
        <v>-364.48782937100907</v>
      </c>
      <c r="I46" s="443">
        <f>-$G46*MAX(TrueRenovateDHW=TRUE,TrueRenovateAllGas=TRUE,MIN($C$15+$C$16,1))*(MAX('3-time of replacement'!W40+SUM(I$33:I45),0)/C46)</f>
        <v>-271.03641155469467</v>
      </c>
      <c r="J46" s="443">
        <f t="shared" si="3"/>
        <v>-852.33984996239417</v>
      </c>
      <c r="K46" s="443">
        <f>('3-time of replacement'!AZ40/('3-time of replacement'!AE40+'3-time of replacement'!X40))*L46</f>
        <v>361.05472348523364</v>
      </c>
      <c r="L46" s="443">
        <f t="shared" si="12"/>
        <v>364.48782937100907</v>
      </c>
      <c r="M46" s="443">
        <f t="shared" si="12"/>
        <v>271.03641155469467</v>
      </c>
      <c r="N46" s="444">
        <v>0</v>
      </c>
      <c r="O46" s="443">
        <f t="shared" si="13"/>
        <v>-232.30515205903615</v>
      </c>
      <c r="P46" s="443">
        <f>MIN($H46*('3-time of replacement'!$AE40+SUM(P$33:P45))/('3-time of replacement'!$X40+'3-time of replacement'!$AE40+SUM(H$33:H45)),0)</f>
        <v>-132.18267731197292</v>
      </c>
      <c r="Q46" s="443">
        <f t="shared" si="14"/>
        <v>-271.03641155469467</v>
      </c>
      <c r="R46" s="443">
        <f>MIN($I46*('3-time of replacement'!$AF40+SUM(R$33:R45))/('3-time of replacement'!$Y40+'3-time of replacement'!$AF40+SUM(I$33:I45)),0)</f>
        <v>0</v>
      </c>
      <c r="S46" s="347">
        <f>MAX($G46*'3-time of replacement'!AE40/'3-time of replacement'!$AX40+H46,0)</f>
        <v>0</v>
      </c>
      <c r="T46" s="347">
        <f>MAX($G46*'3-time of replacement'!AF40/'3-time of replacement'!$AX40+I46,0)</f>
        <v>0</v>
      </c>
      <c r="U46" s="347">
        <f t="shared" si="4"/>
        <v>0</v>
      </c>
      <c r="V46" s="347">
        <f>$G46*('3-time of replacement'!AH40-SUM(V$33:V45))/'3-time of replacement'!$AX40</f>
        <v>80.826644080136859</v>
      </c>
      <c r="W46" s="347">
        <f>$G46*('3-time of replacement'!AI40-SUM(W$33:W45))/'3-time of replacement'!$AX40</f>
        <v>75.814139020903554</v>
      </c>
      <c r="X46" s="347">
        <f>$G46*('3-time of replacement'!AJ40-SUM(X$33:X45))/'3-time of replacement'!$AX40</f>
        <v>18.25701985340087</v>
      </c>
      <c r="Y46" s="347">
        <f t="shared" si="5"/>
        <v>852.33984996239417</v>
      </c>
      <c r="Z46" s="394">
        <f>MAX('3-time of replacement'!X40+O46,0)</f>
        <v>111542.79112018204</v>
      </c>
      <c r="AA46" s="394">
        <f>MAX('3-time of replacement'!Y40+Q46,0)</f>
        <v>137638.82434394787</v>
      </c>
      <c r="AB46" s="394">
        <f>'3-time of replacement'!Z40</f>
        <v>0</v>
      </c>
      <c r="AC46" s="394">
        <f>'3-time of replacement'!AA40+K46</f>
        <v>217649.78705163696</v>
      </c>
      <c r="AD46" s="394">
        <f>'3-time of replacement'!AB40+L46</f>
        <v>218494.51781039388</v>
      </c>
      <c r="AE46" s="394">
        <f>'3-time of replacement'!AC40+M46</f>
        <v>291568.3854484355</v>
      </c>
      <c r="AF46" s="394">
        <f>'3-time of replacement'!AD40+N46</f>
        <v>20811.580229829204</v>
      </c>
      <c r="AG46" s="396">
        <f>MAX('3-time of replacement'!AE40+P46,0)</f>
        <v>66027.209765906024</v>
      </c>
      <c r="AH46" s="396">
        <f>MAX('3-time of replacement'!AF40+R46,0)</f>
        <v>0</v>
      </c>
      <c r="AI46" s="396">
        <f>MAX('3-time of replacement'!AG40+J46,0)</f>
        <v>411861.38287096674</v>
      </c>
      <c r="AJ46" s="396">
        <f>'3-time of replacement'!AH40</f>
        <v>40590.820264078808</v>
      </c>
      <c r="AK46" s="396">
        <f>'3-time of replacement'!AI40</f>
        <v>38073.560092663058</v>
      </c>
      <c r="AL46" s="396">
        <f>'3-time of replacement'!AJ40</f>
        <v>9266.4728332036575</v>
      </c>
      <c r="AM46" s="396">
        <f>'3-time of replacement'!AK40</f>
        <v>413326.49855931586</v>
      </c>
      <c r="AN46" s="445">
        <f t="shared" si="15"/>
        <v>177570.00088608806</v>
      </c>
      <c r="AO46" s="445">
        <f t="shared" si="16"/>
        <v>137638.82434394787</v>
      </c>
      <c r="AP46" s="445">
        <f t="shared" si="17"/>
        <v>411861.38287096674</v>
      </c>
      <c r="AQ46" s="445">
        <f t="shared" si="18"/>
        <v>258240.60731571575</v>
      </c>
      <c r="AR46" s="445">
        <f t="shared" si="19"/>
        <v>256568.07790305692</v>
      </c>
      <c r="AS46" s="445">
        <f t="shared" si="20"/>
        <v>300834.85828163917</v>
      </c>
      <c r="AT46" s="445">
        <f t="shared" si="21"/>
        <v>434138.07878914505</v>
      </c>
      <c r="AU46" s="344">
        <f t="shared" si="7"/>
        <v>0</v>
      </c>
      <c r="AV46" s="344">
        <f t="shared" si="8"/>
        <v>-777817.5959022498</v>
      </c>
      <c r="AW46" s="344">
        <f>O46*'Appliance Stock Profile'!$B$21+P46*'Appliance Stock Profile'!$B$20+Q46*'Appliance Stock Profile'!$C$21+R46*'Appliance Stock Profile'!$C$20+J46*'Appliance Stock Profile'!$D$20</f>
        <v>-141458.50314634544</v>
      </c>
      <c r="AX46" s="344">
        <f t="shared" si="9"/>
        <v>805672.15341631731</v>
      </c>
      <c r="AY46" s="344">
        <f>GasEmissions*(AU46+AW46)+'stock-flow model'!$B15*(AV46+AX46)/1000</f>
        <v>-749.73006667563084</v>
      </c>
      <c r="AZ46" s="344">
        <f>MAX(GasEmissions*(SUM($AU$33:$AU46)+SUM($AW$33:$AW46))+'stock-flow model'!$B15*(SUM($AV$33:$AV46)+SUM($AX$33:$AX46))/1000,-'3-time of replacement'!AW40)</f>
        <v>-14496.425785142041</v>
      </c>
      <c r="BA46" s="343">
        <f>'3-time of replacement'!AW40+AZ46</f>
        <v>347922.53662685916</v>
      </c>
      <c r="BB46" s="446">
        <f>MAX(('3-time of replacement'!$Z40+'3-time of replacement'!$AG40)+SUM($J$33:$J46),0)</f>
        <v>402228.89637664013</v>
      </c>
      <c r="BC46" s="344">
        <f>'3-time of replacement'!AY40-SUM(J$33:J46)</f>
        <v>31909.18241250495</v>
      </c>
      <c r="BD46" s="344">
        <f t="shared" si="22"/>
        <v>175897.47147342924</v>
      </c>
      <c r="BE46" s="344">
        <f t="shared" si="23"/>
        <v>1672.5294126588269</v>
      </c>
      <c r="BF46" s="36">
        <f t="shared" si="24"/>
        <v>-749.73006667563095</v>
      </c>
      <c r="BG46" s="36">
        <f t="shared" si="25"/>
        <v>-14496.425785142041</v>
      </c>
      <c r="BH46" s="36">
        <f t="shared" si="26"/>
        <v>0</v>
      </c>
    </row>
    <row r="47" spans="1:60" hidden="1" x14ac:dyDescent="0.3">
      <c r="A47" s="257">
        <f t="shared" si="1"/>
        <v>1</v>
      </c>
      <c r="B47" s="342">
        <v>2034</v>
      </c>
      <c r="C47" s="343">
        <f>'3-time of replacement'!AX41+SUM(J$33:J46)</f>
        <v>402191.77824638982</v>
      </c>
      <c r="D47" s="343">
        <f>MAX('2-energy assessment'!BL50-SUM(G$33:G46),0)</f>
        <v>389843.79284228612</v>
      </c>
      <c r="E47" s="344">
        <f t="shared" si="10"/>
        <v>848.86745655313018</v>
      </c>
      <c r="F47" s="344">
        <f t="shared" si="2"/>
        <v>848.86745655313018</v>
      </c>
      <c r="G47" s="344">
        <f t="shared" si="11"/>
        <v>848.86745655313018</v>
      </c>
      <c r="H47" s="443">
        <f>-$G47*MAX(TrueRenovateFurnace=TRUE,TrueRenovateAllGas=TRUE,MIN($C$14+$C$16,1))*(MAX('3-time of replacement'!V41+SUM(H$33:H46),0)/C47)</f>
        <v>-345.88466038997365</v>
      </c>
      <c r="I47" s="443">
        <f>-$G47*MAX(TrueRenovateDHW=TRUE,TrueRenovateAllGas=TRUE,MIN($C$15+$C$16,1))*(MAX('3-time of replacement'!W41+SUM(I$33:I46),0)/C47)</f>
        <v>-246.85984112264072</v>
      </c>
      <c r="J47" s="443">
        <f t="shared" si="3"/>
        <v>-848.86745655313018</v>
      </c>
      <c r="K47" s="443">
        <f>('3-time of replacement'!AZ41/('3-time of replacement'!AE41+'3-time of replacement'!X41))*L47</f>
        <v>342.84907736341734</v>
      </c>
      <c r="L47" s="443">
        <f t="shared" si="12"/>
        <v>345.88466038997365</v>
      </c>
      <c r="M47" s="443">
        <f t="shared" si="12"/>
        <v>246.85984112264072</v>
      </c>
      <c r="N47" s="444">
        <v>0</v>
      </c>
      <c r="O47" s="443">
        <f t="shared" si="13"/>
        <v>-236.02832027649032</v>
      </c>
      <c r="P47" s="443">
        <f>MIN($H47*('3-time of replacement'!$AE41+SUM(P$33:P46))/('3-time of replacement'!$X41+'3-time of replacement'!$AE41+SUM(H$33:H46)),0)</f>
        <v>-109.85634011348333</v>
      </c>
      <c r="Q47" s="443">
        <f t="shared" si="14"/>
        <v>-246.85984112264072</v>
      </c>
      <c r="R47" s="443">
        <f>MIN($I47*('3-time of replacement'!$AF41+SUM(R$33:R46))/('3-time of replacement'!$Y41+'3-time of replacement'!$AF41+SUM(I$33:I46)),0)</f>
        <v>0</v>
      </c>
      <c r="S47" s="347">
        <f>MAX($G47*'3-time of replacement'!AE41/'3-time of replacement'!$AX41+H47,0)</f>
        <v>0</v>
      </c>
      <c r="T47" s="347">
        <f>MAX($G47*'3-time of replacement'!AF41/'3-time of replacement'!$AX41+I47,0)</f>
        <v>0</v>
      </c>
      <c r="U47" s="347">
        <f t="shared" si="4"/>
        <v>0</v>
      </c>
      <c r="V47" s="347">
        <f>$G47*('3-time of replacement'!AH41-SUM(V$33:V46))/'3-time of replacement'!$AX41</f>
        <v>74.772041653637572</v>
      </c>
      <c r="W47" s="347">
        <f>$G47*('3-time of replacement'!AI41-SUM(W$33:W46))/'3-time of replacement'!$AX41</f>
        <v>70.135015814652277</v>
      </c>
      <c r="X47" s="347">
        <f>$G47*('3-time of replacement'!AJ41-SUM(X$33:X46))/'3-time of replacement'!$AX41</f>
        <v>16.24062792419463</v>
      </c>
      <c r="Y47" s="347">
        <f t="shared" si="5"/>
        <v>848.86745655313018</v>
      </c>
      <c r="Z47" s="394">
        <f>MAX('3-time of replacement'!X41+O47,0)</f>
        <v>113741.38415135362</v>
      </c>
      <c r="AA47" s="394">
        <f>MAX('3-time of replacement'!Y41+Q47,0)</f>
        <v>135660.52993266087</v>
      </c>
      <c r="AB47" s="394">
        <f>'3-time of replacement'!Z41</f>
        <v>0</v>
      </c>
      <c r="AC47" s="394">
        <f>'3-time of replacement'!AA41+K47</f>
        <v>229879.32108694743</v>
      </c>
      <c r="AD47" s="394">
        <f>'3-time of replacement'!AB41+L47</f>
        <v>230741.51562532177</v>
      </c>
      <c r="AE47" s="394">
        <f>'3-time of replacement'!AC41+M47</f>
        <v>305015.19997421128</v>
      </c>
      <c r="AF47" s="394">
        <f>'3-time of replacement'!AD41+N47</f>
        <v>22412.471016739142</v>
      </c>
      <c r="AG47" s="396">
        <f>MAX('3-time of replacement'!AE41+P47,0)</f>
        <v>55720.747046227327</v>
      </c>
      <c r="AH47" s="396">
        <f>MAX('3-time of replacement'!AF41+R47,0)</f>
        <v>0</v>
      </c>
      <c r="AI47" s="396">
        <f>MAX('3-time of replacement'!AG41+J47,0)</f>
        <v>411827.73713412567</v>
      </c>
      <c r="AJ47" s="396">
        <f>'3-time of replacement'!AH41</f>
        <v>37884.765579806888</v>
      </c>
      <c r="AK47" s="396">
        <f>'3-time of replacement'!AI41</f>
        <v>35535.322753152184</v>
      </c>
      <c r="AL47" s="396">
        <f>'3-time of replacement'!AJ41</f>
        <v>8339.8255498832914</v>
      </c>
      <c r="AM47" s="396">
        <f>'3-time of replacement'!AK41</f>
        <v>413326.49855931586</v>
      </c>
      <c r="AN47" s="445">
        <f t="shared" si="15"/>
        <v>169462.13119758095</v>
      </c>
      <c r="AO47" s="445">
        <f t="shared" si="16"/>
        <v>135660.52993266087</v>
      </c>
      <c r="AP47" s="445">
        <f t="shared" si="17"/>
        <v>411827.73713412567</v>
      </c>
      <c r="AQ47" s="445">
        <f t="shared" si="18"/>
        <v>267764.08666675433</v>
      </c>
      <c r="AR47" s="445">
        <f t="shared" si="19"/>
        <v>266276.83837847394</v>
      </c>
      <c r="AS47" s="445">
        <f t="shared" si="20"/>
        <v>313355.02552409458</v>
      </c>
      <c r="AT47" s="445">
        <f t="shared" si="21"/>
        <v>435738.96957605501</v>
      </c>
      <c r="AU47" s="344">
        <f t="shared" si="7"/>
        <v>0</v>
      </c>
      <c r="AV47" s="344">
        <f t="shared" si="8"/>
        <v>-772290.14218952483</v>
      </c>
      <c r="AW47" s="344">
        <f>O47*'Appliance Stock Profile'!$B$21+P47*'Appliance Stock Profile'!$B$20+Q47*'Appliance Stock Profile'!$C$21+R47*'Appliance Stock Profile'!$C$20+J47*'Appliance Stock Profile'!$D$20</f>
        <v>-132970.96625154352</v>
      </c>
      <c r="AX47" s="344">
        <f t="shared" si="9"/>
        <v>757252.83550261031</v>
      </c>
      <c r="AY47" s="344">
        <f>GasEmissions*(AU47+AW47)+'stock-flow model'!$B16*(AV47+AX47)/1000</f>
        <v>-704.74612113318062</v>
      </c>
      <c r="AZ47" s="344">
        <f>MAX(GasEmissions*(SUM($AU$33:$AU47)+SUM($AW$33:$AW47))+'stock-flow model'!$B16*(SUM($AV$33:$AV47)+SUM($AX$33:$AX47))/1000,-'3-time of replacement'!AW41)</f>
        <v>-15201.171906275222</v>
      </c>
      <c r="BA47" s="343">
        <f>'3-time of replacement'!AW41+AZ47</f>
        <v>322305.84243498964</v>
      </c>
      <c r="BB47" s="446">
        <f>MAX(('3-time of replacement'!$Z41+'3-time of replacement'!$AG41)+SUM($J$33:$J47),0)</f>
        <v>401342.91078983666</v>
      </c>
      <c r="BC47" s="344">
        <f>'3-time of replacement'!AY41-SUM(J$33:J47)</f>
        <v>34396.058786218317</v>
      </c>
      <c r="BD47" s="344">
        <f t="shared" si="22"/>
        <v>167974.88290930056</v>
      </c>
      <c r="BE47" s="344">
        <f t="shared" si="23"/>
        <v>1487.2482882803597</v>
      </c>
      <c r="BF47" s="36">
        <f t="shared" si="24"/>
        <v>-704.74612113318108</v>
      </c>
      <c r="BG47" s="36">
        <f t="shared" si="25"/>
        <v>-15201.171906275222</v>
      </c>
      <c r="BH47" s="36">
        <f t="shared" si="26"/>
        <v>0</v>
      </c>
    </row>
    <row r="48" spans="1:60" hidden="1" x14ac:dyDescent="0.3">
      <c r="A48" s="257">
        <f t="shared" si="1"/>
        <v>1</v>
      </c>
      <c r="B48" s="342">
        <v>2035</v>
      </c>
      <c r="C48" s="343">
        <f>'3-time of replacement'!AX42+SUM(J$33:J47)</f>
        <v>401307.49865597178</v>
      </c>
      <c r="D48" s="343">
        <f>MAX('2-energy assessment'!BL51-SUM(G$33:G47),0)</f>
        <v>388286.68270843528</v>
      </c>
      <c r="E48" s="344">
        <f t="shared" si="10"/>
        <v>845.47691874500401</v>
      </c>
      <c r="F48" s="344">
        <f t="shared" si="2"/>
        <v>845.47691874500401</v>
      </c>
      <c r="G48" s="344">
        <f t="shared" si="11"/>
        <v>845.47691874500401</v>
      </c>
      <c r="H48" s="443">
        <f>-$G48*MAX(TrueRenovateFurnace=TRUE,TrueRenovateAllGas=TRUE,MIN($C$14+$C$16,1))*(MAX('3-time of replacement'!V42+SUM(H$33:H47),0)/C48)</f>
        <v>-328.2101496330813</v>
      </c>
      <c r="I48" s="443">
        <f>-$G48*MAX(TrueRenovateDHW=TRUE,TrueRenovateAllGas=TRUE,MIN($C$15+$C$16,1))*(MAX('3-time of replacement'!W42+SUM(I$33:I47),0)/C48)</f>
        <v>-224.73029612373819</v>
      </c>
      <c r="J48" s="443">
        <f t="shared" si="3"/>
        <v>-845.47691874500401</v>
      </c>
      <c r="K48" s="443">
        <f>('3-time of replacement'!AZ42/('3-time of replacement'!AE42+'3-time of replacement'!X42))*L48</f>
        <v>325.52761579605146</v>
      </c>
      <c r="L48" s="443">
        <f t="shared" si="12"/>
        <v>328.2101496330813</v>
      </c>
      <c r="M48" s="443">
        <f t="shared" si="12"/>
        <v>224.73029612373819</v>
      </c>
      <c r="N48" s="444">
        <v>0</v>
      </c>
      <c r="O48" s="443">
        <f t="shared" si="13"/>
        <v>-238.77613981170165</v>
      </c>
      <c r="P48" s="443">
        <f>MIN($H48*('3-time of replacement'!$AE42+SUM(P$33:P47))/('3-time of replacement'!$X42+'3-time of replacement'!$AE42+SUM(H$33:H47)),0)</f>
        <v>-89.434009821379647</v>
      </c>
      <c r="Q48" s="443">
        <f t="shared" si="14"/>
        <v>-224.73029612373819</v>
      </c>
      <c r="R48" s="443">
        <f>MIN($I48*('3-time of replacement'!$AF42+SUM(R$33:R47))/('3-time of replacement'!$Y42+'3-time of replacement'!$AF42+SUM(I$33:I47)),0)</f>
        <v>0</v>
      </c>
      <c r="S48" s="347">
        <f>MAX($G48*'3-time of replacement'!AE42/'3-time of replacement'!$AX42+H48,0)</f>
        <v>0</v>
      </c>
      <c r="T48" s="347">
        <f>MAX($G48*'3-time of replacement'!AF42/'3-time of replacement'!$AX42+I48,0)</f>
        <v>0</v>
      </c>
      <c r="U48" s="347">
        <f t="shared" si="4"/>
        <v>0</v>
      </c>
      <c r="V48" s="347">
        <f>$G48*('3-time of replacement'!AH42-SUM(V$33:V47))/'3-time of replacement'!$AX42</f>
        <v>69.151669023719805</v>
      </c>
      <c r="W48" s="347">
        <f>$G48*('3-time of replacement'!AI42-SUM(W$33:W47))/'3-time of replacement'!$AX42</f>
        <v>64.86319342534955</v>
      </c>
      <c r="X48" s="347">
        <f>$G48*('3-time of replacement'!AJ42-SUM(X$33:X47))/'3-time of replacement'!$AX42</f>
        <v>14.435091918864703</v>
      </c>
      <c r="Y48" s="347">
        <f t="shared" si="5"/>
        <v>845.47691874500401</v>
      </c>
      <c r="Z48" s="394">
        <f>MAX('3-time of replacement'!X42+O48,0)</f>
        <v>115480.52315962598</v>
      </c>
      <c r="AA48" s="394">
        <f>MAX('3-time of replacement'!Y42+Q48,0)</f>
        <v>133764.02184650721</v>
      </c>
      <c r="AB48" s="394">
        <f>'3-time of replacement'!Z42</f>
        <v>0</v>
      </c>
      <c r="AC48" s="394">
        <f>'3-time of replacement'!AA42+K48</f>
        <v>241570.7395996124</v>
      </c>
      <c r="AD48" s="394">
        <f>'3-time of replacement'!AB42+L48</f>
        <v>242441.68265874483</v>
      </c>
      <c r="AE48" s="394">
        <f>'3-time of replacement'!AC42+M48</f>
        <v>317474.07021922717</v>
      </c>
      <c r="AF48" s="394">
        <f>'3-time of replacement'!AD42+N48</f>
        <v>24013.361803649081</v>
      </c>
      <c r="AG48" s="396">
        <f>MAX('3-time of replacement'!AE42+P48,0)</f>
        <v>46251.353308318685</v>
      </c>
      <c r="AH48" s="396">
        <f>MAX('3-time of replacement'!AF42+R48,0)</f>
        <v>0</v>
      </c>
      <c r="AI48" s="396">
        <f>MAX('3-time of replacement'!AG42+J48,0)</f>
        <v>411795.71553806891</v>
      </c>
      <c r="AJ48" s="396">
        <f>'3-time of replacement'!AH42</f>
        <v>35359.114541153089</v>
      </c>
      <c r="AK48" s="396">
        <f>'3-time of replacement'!AI42</f>
        <v>33166.301236275365</v>
      </c>
      <c r="AL48" s="396">
        <f>'3-time of replacement'!AJ42</f>
        <v>7505.8429948949633</v>
      </c>
      <c r="AM48" s="396">
        <f>'3-time of replacement'!AK42</f>
        <v>413326.49855931586</v>
      </c>
      <c r="AN48" s="445">
        <f t="shared" si="15"/>
        <v>161731.87646794468</v>
      </c>
      <c r="AO48" s="445">
        <f t="shared" si="16"/>
        <v>133764.02184650721</v>
      </c>
      <c r="AP48" s="445">
        <f t="shared" si="17"/>
        <v>411795.71553806891</v>
      </c>
      <c r="AQ48" s="445">
        <f t="shared" si="18"/>
        <v>276929.8541407655</v>
      </c>
      <c r="AR48" s="445">
        <f t="shared" si="19"/>
        <v>275607.98389502021</v>
      </c>
      <c r="AS48" s="445">
        <f t="shared" si="20"/>
        <v>324979.91321412212</v>
      </c>
      <c r="AT48" s="445">
        <f t="shared" si="21"/>
        <v>437339.86036296492</v>
      </c>
      <c r="AU48" s="344">
        <f t="shared" si="7"/>
        <v>0</v>
      </c>
      <c r="AV48" s="344">
        <f t="shared" si="8"/>
        <v>-767025.16041084984</v>
      </c>
      <c r="AW48" s="344">
        <f>O48*'Appliance Stock Profile'!$B$21+P48*'Appliance Stock Profile'!$B$20+Q48*'Appliance Stock Profile'!$C$21+R48*'Appliance Stock Profile'!$C$20+J48*'Appliance Stock Profile'!$D$20</f>
        <v>-125070.95206379902</v>
      </c>
      <c r="AX48" s="344">
        <f t="shared" si="9"/>
        <v>711840.81298686296</v>
      </c>
      <c r="AY48" s="344">
        <f>GasEmissions*(AU48+AW48)+'stock-flow model'!$B17*(AV48+AX48)/1000</f>
        <v>-662.87604593813478</v>
      </c>
      <c r="AZ48" s="344">
        <f>MAX(GasEmissions*(SUM($AU$33:$AU48)+SUM($AW$33:$AW48))+'stock-flow model'!$B17*(SUM($AV$33:$AV48)+SUM($AX$33:$AX48))/1000,-'3-time of replacement'!AW42)</f>
        <v>-15864.047952213356</v>
      </c>
      <c r="BA48" s="343">
        <f>'3-time of replacement'!AW42+AZ48</f>
        <v>298519.61688845872</v>
      </c>
      <c r="BB48" s="446">
        <f>MAX(('3-time of replacement'!$Z42+'3-time of replacement'!$AG42)+SUM($J$33:$J48),0)</f>
        <v>400462.02173722681</v>
      </c>
      <c r="BC48" s="344">
        <f>'3-time of replacement'!AY42-SUM(J$33:J48)</f>
        <v>36877.838625738143</v>
      </c>
      <c r="BD48" s="344">
        <f t="shared" si="22"/>
        <v>160410.00622219936</v>
      </c>
      <c r="BE48" s="344">
        <f t="shared" si="23"/>
        <v>1321.8702457452891</v>
      </c>
      <c r="BF48" s="36">
        <f t="shared" si="24"/>
        <v>-662.87604593813376</v>
      </c>
      <c r="BG48" s="36">
        <f t="shared" si="25"/>
        <v>-15864.047952213356</v>
      </c>
      <c r="BH48" s="36">
        <f t="shared" si="26"/>
        <v>0</v>
      </c>
    </row>
    <row r="49" spans="1:60" hidden="1" x14ac:dyDescent="0.3">
      <c r="A49" s="257">
        <f t="shared" si="1"/>
        <v>1</v>
      </c>
      <c r="B49" s="342">
        <v>2036</v>
      </c>
      <c r="C49" s="343">
        <f>'3-time of replacement'!AX43+SUM(J$33:J48)</f>
        <v>400428.23718998785</v>
      </c>
      <c r="D49" s="343">
        <f>MAX('2-energy assessment'!BL52-SUM(G$33:G48),0)</f>
        <v>386765.51484491053</v>
      </c>
      <c r="E49" s="344">
        <f t="shared" si="10"/>
        <v>842.16464362607451</v>
      </c>
      <c r="F49" s="344">
        <f t="shared" si="2"/>
        <v>842.16464362607451</v>
      </c>
      <c r="G49" s="344">
        <f t="shared" si="11"/>
        <v>842.16464362607451</v>
      </c>
      <c r="H49" s="443">
        <f>-$G49*MAX(TrueRenovateFurnace=TRUE,TrueRenovateAllGas=TRUE,MIN($C$14+$C$16,1))*(MAX('3-time of replacement'!V43+SUM(H$33:H48),0)/C49)</f>
        <v>-311.4142539920191</v>
      </c>
      <c r="I49" s="443">
        <f>-$G49*MAX(TrueRenovateDHW=TRUE,TrueRenovateAllGas=TRUE,MIN($C$15+$C$16,1))*(MAX('3-time of replacement'!W43+SUM(I$33:I48),0)/C49)</f>
        <v>-204.47242528547835</v>
      </c>
      <c r="J49" s="443">
        <f t="shared" si="3"/>
        <v>-842.16464362607451</v>
      </c>
      <c r="K49" s="443">
        <f>('3-time of replacement'!AZ43/('3-time of replacement'!AE43+'3-time of replacement'!X43))*L49</f>
        <v>309.04512424619719</v>
      </c>
      <c r="L49" s="443">
        <f t="shared" si="12"/>
        <v>311.4142539920191</v>
      </c>
      <c r="M49" s="443">
        <f t="shared" si="12"/>
        <v>204.47242528547835</v>
      </c>
      <c r="N49" s="444">
        <v>0</v>
      </c>
      <c r="O49" s="443">
        <f t="shared" si="13"/>
        <v>-240.63793408249873</v>
      </c>
      <c r="P49" s="443">
        <f>MIN($H49*('3-time of replacement'!$AE43+SUM(P$33:P48))/('3-time of replacement'!$X43+'3-time of replacement'!$AE43+SUM(H$33:H48)),0)</f>
        <v>-70.776319909520367</v>
      </c>
      <c r="Q49" s="443">
        <f t="shared" si="14"/>
        <v>-204.47242528547835</v>
      </c>
      <c r="R49" s="443">
        <f>MIN($I49*('3-time of replacement'!$AF43+SUM(R$33:R48))/('3-time of replacement'!$Y43+'3-time of replacement'!$AF43+SUM(I$33:I48)),0)</f>
        <v>0</v>
      </c>
      <c r="S49" s="347">
        <f>MAX($G49*'3-time of replacement'!AE43/'3-time of replacement'!$AX43+H49,0)</f>
        <v>0</v>
      </c>
      <c r="T49" s="347">
        <f>MAX($G49*'3-time of replacement'!AF43/'3-time of replacement'!$AX43+I49,0)</f>
        <v>0</v>
      </c>
      <c r="U49" s="347">
        <f t="shared" si="4"/>
        <v>0</v>
      </c>
      <c r="V49" s="347">
        <f>$G49*('3-time of replacement'!AH43-SUM(V$33:V48))/'3-time of replacement'!$AX43</f>
        <v>63.933868576734589</v>
      </c>
      <c r="W49" s="347">
        <f>$G49*('3-time of replacement'!AI43-SUM(W$33:W48))/'3-time of replacement'!$AX43</f>
        <v>59.968977502208389</v>
      </c>
      <c r="X49" s="347">
        <f>$G49*('3-time of replacement'!AJ43-SUM(X$33:X48))/'3-time of replacement'!$AX43</f>
        <v>12.818252110570533</v>
      </c>
      <c r="Y49" s="347">
        <f t="shared" si="5"/>
        <v>842.16464362607451</v>
      </c>
      <c r="Z49" s="394">
        <f>MAX('3-time of replacement'!X43+O49,0)</f>
        <v>116799.13467490765</v>
      </c>
      <c r="AA49" s="394">
        <f>MAX('3-time of replacement'!Y43+Q49,0)</f>
        <v>131949.84148415763</v>
      </c>
      <c r="AB49" s="394">
        <f>'3-time of replacement'!Z43</f>
        <v>0</v>
      </c>
      <c r="AC49" s="394">
        <f>'3-time of replacement'!AA43+K49</f>
        <v>252752.33503127089</v>
      </c>
      <c r="AD49" s="394">
        <f>'3-time of replacement'!AB43+L49</f>
        <v>253624.63753612415</v>
      </c>
      <c r="AE49" s="394">
        <f>'3-time of replacement'!AC43+M49</f>
        <v>329027.76447920303</v>
      </c>
      <c r="AF49" s="394">
        <f>'3-time of replacement'!AD43+N49</f>
        <v>25614.252590559019</v>
      </c>
      <c r="AG49" s="396">
        <f>MAX('3-time of replacement'!AE43+P49,0)</f>
        <v>37561.764451652678</v>
      </c>
      <c r="AH49" s="396">
        <f>MAX('3-time of replacement'!AF43+R49,0)</f>
        <v>0</v>
      </c>
      <c r="AI49" s="396">
        <f>MAX('3-time of replacement'!AG43+J49,0)</f>
        <v>411765.2432659489</v>
      </c>
      <c r="AJ49" s="396">
        <f>'3-time of replacement'!AH43</f>
        <v>33001.840238409553</v>
      </c>
      <c r="AK49" s="396">
        <f>'3-time of replacement'!AI43</f>
        <v>30955.214487190344</v>
      </c>
      <c r="AL49" s="396">
        <f>'3-time of replacement'!AJ43</f>
        <v>6755.2586954054641</v>
      </c>
      <c r="AM49" s="396">
        <f>'3-time of replacement'!AK43</f>
        <v>413326.49855931586</v>
      </c>
      <c r="AN49" s="445">
        <f t="shared" si="15"/>
        <v>154360.89912656031</v>
      </c>
      <c r="AO49" s="445">
        <f t="shared" si="16"/>
        <v>131949.84148415763</v>
      </c>
      <c r="AP49" s="445">
        <f t="shared" si="17"/>
        <v>411765.2432659489</v>
      </c>
      <c r="AQ49" s="445">
        <f t="shared" si="18"/>
        <v>285754.17526968045</v>
      </c>
      <c r="AR49" s="445">
        <f t="shared" si="19"/>
        <v>284579.85202331451</v>
      </c>
      <c r="AS49" s="445">
        <f t="shared" si="20"/>
        <v>335783.02317460848</v>
      </c>
      <c r="AT49" s="445">
        <f t="shared" si="21"/>
        <v>438940.75114987488</v>
      </c>
      <c r="AU49" s="344">
        <f t="shared" si="7"/>
        <v>0</v>
      </c>
      <c r="AV49" s="344">
        <f t="shared" si="8"/>
        <v>-762004.32179672958</v>
      </c>
      <c r="AW49" s="344">
        <f>O49*'Appliance Stock Profile'!$B$21+P49*'Appliance Stock Profile'!$B$20+Q49*'Appliance Stock Profile'!$C$21+R49*'Appliance Stock Profile'!$C$20+J49*'Appliance Stock Profile'!$D$20</f>
        <v>-117715.05118316421</v>
      </c>
      <c r="AX49" s="344">
        <f t="shared" si="9"/>
        <v>669228.5436470937</v>
      </c>
      <c r="AY49" s="344">
        <f>GasEmissions*(AU49+AW49)+'stock-flow model'!$B18*(AV49+AX49)/1000</f>
        <v>-623.88977127077032</v>
      </c>
      <c r="AZ49" s="344">
        <f>MAX(GasEmissions*(SUM($AU$33:$AU49)+SUM($AW$33:$AW49))+'stock-flow model'!$B18*(SUM($AV$33:$AV49)+SUM($AX$33:$AX49))/1000,-'3-time of replacement'!AW43)</f>
        <v>-16487.937723484127</v>
      </c>
      <c r="BA49" s="343">
        <f>'3-time of replacement'!AW43+AZ49</f>
        <v>276425.76390971057</v>
      </c>
      <c r="BB49" s="446">
        <f>MAX(('3-time of replacement'!$Z43+'3-time of replacement'!$AG43)+SUM($J$33:$J49),0)</f>
        <v>399586.07254636177</v>
      </c>
      <c r="BC49" s="344">
        <f>'3-time of replacement'!AY43-SUM(J$33:J49)</f>
        <v>39354.678603513144</v>
      </c>
      <c r="BD49" s="344">
        <f t="shared" si="22"/>
        <v>153186.57588019437</v>
      </c>
      <c r="BE49" s="344">
        <f t="shared" si="23"/>
        <v>1174.3232463659515</v>
      </c>
      <c r="BF49" s="36">
        <f t="shared" si="24"/>
        <v>-623.88977127077123</v>
      </c>
      <c r="BG49" s="36">
        <f t="shared" si="25"/>
        <v>-16487.937723484127</v>
      </c>
      <c r="BH49" s="36">
        <f t="shared" si="26"/>
        <v>0</v>
      </c>
    </row>
    <row r="50" spans="1:60" hidden="1" x14ac:dyDescent="0.3">
      <c r="A50" s="257">
        <f t="shared" si="1"/>
        <v>1</v>
      </c>
      <c r="B50" s="342">
        <v>2037</v>
      </c>
      <c r="C50" s="343">
        <f>'3-time of replacement'!AX44+SUM(J$33:J49)</f>
        <v>399553.84077980119</v>
      </c>
      <c r="D50" s="343">
        <f>MAX('2-energy assessment'!BL53-SUM(G$33:G49),0)</f>
        <v>385278.71487007348</v>
      </c>
      <c r="E50" s="344">
        <f t="shared" si="10"/>
        <v>838.92720305060345</v>
      </c>
      <c r="F50" s="344">
        <f t="shared" si="2"/>
        <v>838.92720305060345</v>
      </c>
      <c r="G50" s="344">
        <f t="shared" si="11"/>
        <v>838.92720305060345</v>
      </c>
      <c r="H50" s="443">
        <f>-$G50*MAX(TrueRenovateFurnace=TRUE,TrueRenovateAllGas=TRUE,MIN($C$14+$C$16,1))*(MAX('3-time of replacement'!V44+SUM(H$33:H49),0)/C50)</f>
        <v>-295.4499587204113</v>
      </c>
      <c r="I50" s="443">
        <f>-$G50*MAX(TrueRenovateDHW=TRUE,TrueRenovateAllGas=TRUE,MIN($C$15+$C$16,1))*(MAX('3-time of replacement'!W44+SUM(I$33:I49),0)/C50)</f>
        <v>-185.92617597349928</v>
      </c>
      <c r="J50" s="443">
        <f t="shared" si="3"/>
        <v>-838.92720305060345</v>
      </c>
      <c r="K50" s="443">
        <f>('3-time of replacement'!AZ44/('3-time of replacement'!AE44+'3-time of replacement'!X44))*L50</f>
        <v>293.35890725902419</v>
      </c>
      <c r="L50" s="443">
        <f t="shared" si="12"/>
        <v>295.4499587204113</v>
      </c>
      <c r="M50" s="443">
        <f t="shared" si="12"/>
        <v>185.92617597349928</v>
      </c>
      <c r="N50" s="444">
        <v>0</v>
      </c>
      <c r="O50" s="443">
        <f t="shared" si="13"/>
        <v>-241.69613533642689</v>
      </c>
      <c r="P50" s="443">
        <f>MIN($H50*('3-time of replacement'!$AE44+SUM(P$33:P49))/('3-time of replacement'!$X44+'3-time of replacement'!$AE44+SUM(H$33:H49)),0)</f>
        <v>-53.753823383984411</v>
      </c>
      <c r="Q50" s="443">
        <f t="shared" si="14"/>
        <v>-185.92617597349928</v>
      </c>
      <c r="R50" s="443">
        <f>MIN($I50*('3-time of replacement'!$AF44+SUM(R$33:R49))/('3-time of replacement'!$Y44+'3-time of replacement'!$AF44+SUM(I$33:I49)),0)</f>
        <v>0</v>
      </c>
      <c r="S50" s="347">
        <f>MAX($G50*'3-time of replacement'!AE44/'3-time of replacement'!$AX44+H50,0)</f>
        <v>0</v>
      </c>
      <c r="T50" s="347">
        <f>MAX($G50*'3-time of replacement'!AF44/'3-time of replacement'!$AX44+I50,0)</f>
        <v>0</v>
      </c>
      <c r="U50" s="347">
        <f t="shared" si="4"/>
        <v>0</v>
      </c>
      <c r="V50" s="347">
        <f>$G50*('3-time of replacement'!AH44-SUM(V$33:V49))/'3-time of replacement'!$AX44</f>
        <v>59.089354942797748</v>
      </c>
      <c r="W50" s="347">
        <f>$G50*('3-time of replacement'!AI44-SUM(W$33:W49))/'3-time of replacement'!$AX44</f>
        <v>55.424898822314162</v>
      </c>
      <c r="X50" s="347">
        <f>$G50*('3-time of replacement'!AJ44-SUM(X$33:X49))/'3-time of replacement'!$AX44</f>
        <v>11.370300209922362</v>
      </c>
      <c r="Y50" s="347">
        <f t="shared" si="5"/>
        <v>838.92720305060345</v>
      </c>
      <c r="Z50" s="394">
        <f>MAX('3-time of replacement'!X44+O50,0)</f>
        <v>117733.42869324329</v>
      </c>
      <c r="AA50" s="394">
        <f>MAX('3-time of replacement'!Y44+Q50,0)</f>
        <v>130217.83450391231</v>
      </c>
      <c r="AB50" s="394">
        <f>'3-time of replacement'!Z44</f>
        <v>0</v>
      </c>
      <c r="AC50" s="394">
        <f>'3-time of replacement'!AA44+K50</f>
        <v>263450.84243160306</v>
      </c>
      <c r="AD50" s="394">
        <f>'3-time of replacement'!AB44+L50</f>
        <v>264318.28329030622</v>
      </c>
      <c r="AE50" s="394">
        <f>'3-time of replacement'!AC44+M50</f>
        <v>339752.07711953874</v>
      </c>
      <c r="AF50" s="394">
        <f>'3-time of replacement'!AD44+N50</f>
        <v>27215.143377468958</v>
      </c>
      <c r="AG50" s="396">
        <f>MAX('3-time of replacement'!AE44+P50,0)</f>
        <v>29598.396431857636</v>
      </c>
      <c r="AH50" s="396">
        <f>MAX('3-time of replacement'!AF44+R50,0)</f>
        <v>0</v>
      </c>
      <c r="AI50" s="396">
        <f>MAX('3-time of replacement'!AG44+J50,0)</f>
        <v>411736.24893996381</v>
      </c>
      <c r="AJ50" s="396">
        <f>'3-time of replacement'!AH44</f>
        <v>30801.717555848911</v>
      </c>
      <c r="AK50" s="396">
        <f>'3-time of replacement'!AI44</f>
        <v>28891.533521377656</v>
      </c>
      <c r="AL50" s="396">
        <f>'3-time of replacement'!AJ44</f>
        <v>6079.7328258649213</v>
      </c>
      <c r="AM50" s="396">
        <f>'3-time of replacement'!AK44</f>
        <v>413326.49855931586</v>
      </c>
      <c r="AN50" s="445">
        <f t="shared" si="15"/>
        <v>147331.82512510094</v>
      </c>
      <c r="AO50" s="445">
        <f t="shared" si="16"/>
        <v>130217.83450391231</v>
      </c>
      <c r="AP50" s="445">
        <f t="shared" si="17"/>
        <v>411736.24893996381</v>
      </c>
      <c r="AQ50" s="445">
        <f t="shared" si="18"/>
        <v>294252.559987452</v>
      </c>
      <c r="AR50" s="445">
        <f t="shared" si="19"/>
        <v>293209.81681168388</v>
      </c>
      <c r="AS50" s="445">
        <f t="shared" si="20"/>
        <v>345831.80994540366</v>
      </c>
      <c r="AT50" s="445">
        <f t="shared" si="21"/>
        <v>440541.64193678484</v>
      </c>
      <c r="AU50" s="344">
        <f t="shared" si="7"/>
        <v>0</v>
      </c>
      <c r="AV50" s="344">
        <f t="shared" si="8"/>
        <v>-757210.70909183554</v>
      </c>
      <c r="AW50" s="344">
        <f>O50*'Appliance Stock Profile'!$B$21+P50*'Appliance Stock Profile'!$B$20+Q50*'Appliance Stock Profile'!$C$21+R50*'Appliance Stock Profile'!$C$20+J50*'Appliance Stock Profile'!$D$20</f>
        <v>-110863.27557950497</v>
      </c>
      <c r="AX50" s="344">
        <f t="shared" si="9"/>
        <v>629224.30610164511</v>
      </c>
      <c r="AY50" s="344">
        <f>GasEmissions*(AU50+AW50)+'stock-flow model'!$B19*(AV50+AX50)/1000</f>
        <v>-587.57536057137634</v>
      </c>
      <c r="AZ50" s="344">
        <f>MAX(GasEmissions*(SUM($AU$33:$AU50)+SUM($AW$33:$AW50))+'stock-flow model'!$B19*(SUM($AV$33:$AV50)+SUM($AX$33:$AX50))/1000,-'3-time of replacement'!AW44)</f>
        <v>-17075.513084055503</v>
      </c>
      <c r="BA50" s="343">
        <f>'3-time of replacement'!AW44+AZ50</f>
        <v>255897.10838992265</v>
      </c>
      <c r="BB50" s="446">
        <f>MAX(('3-time of replacement'!$Z44+'3-time of replacement'!$AG44)+SUM($J$33:$J50),0)</f>
        <v>398714.91357675055</v>
      </c>
      <c r="BC50" s="344">
        <f>'3-time of replacement'!AY44-SUM(J$33:J50)</f>
        <v>41826.728360034234</v>
      </c>
      <c r="BD50" s="344">
        <f t="shared" si="22"/>
        <v>146289.08194933285</v>
      </c>
      <c r="BE50" s="344">
        <f t="shared" si="23"/>
        <v>1042.7431757680897</v>
      </c>
      <c r="BF50" s="36">
        <f t="shared" si="24"/>
        <v>-587.57536057137622</v>
      </c>
      <c r="BG50" s="36">
        <f t="shared" si="25"/>
        <v>-17075.513084055503</v>
      </c>
      <c r="BH50" s="36">
        <f t="shared" si="26"/>
        <v>0</v>
      </c>
    </row>
    <row r="51" spans="1:60" hidden="1" x14ac:dyDescent="0.3">
      <c r="A51" s="257">
        <f t="shared" si="1"/>
        <v>1</v>
      </c>
      <c r="B51" s="342">
        <v>2038</v>
      </c>
      <c r="C51" s="343">
        <f>'3-time of replacement'!AX45+SUM(J$33:J50)</f>
        <v>398684.16322309733</v>
      </c>
      <c r="D51" s="343">
        <f>MAX('2-energy assessment'!BL54-SUM(G$33:G50),0)</f>
        <v>383824.7805939581</v>
      </c>
      <c r="E51" s="344">
        <f t="shared" si="10"/>
        <v>835.76132606699639</v>
      </c>
      <c r="F51" s="344">
        <f t="shared" si="2"/>
        <v>835.76132606699639</v>
      </c>
      <c r="G51" s="344">
        <f t="shared" si="11"/>
        <v>835.76132606699639</v>
      </c>
      <c r="H51" s="443">
        <f>-$G51*MAX(TrueRenovateFurnace=TRUE,TrueRenovateAllGas=TRUE,MIN($C$14+$C$16,1))*(MAX('3-time of replacement'!V45+SUM(H$33:H50),0)/C51)</f>
        <v>-280.27306742194907</v>
      </c>
      <c r="I51" s="443">
        <f>-$G51*MAX(TrueRenovateDHW=TRUE,TrueRenovateAllGas=TRUE,MIN($C$15+$C$16,1))*(MAX('3-time of replacement'!W45+SUM(I$33:I50),0)/C51)</f>
        <v>-168.94542640001163</v>
      </c>
      <c r="J51" s="443">
        <f t="shared" si="3"/>
        <v>-835.76132606699639</v>
      </c>
      <c r="K51" s="443">
        <f>('3-time of replacement'!AZ45/('3-time of replacement'!AE45+'3-time of replacement'!X45))*L51</f>
        <v>278.42863040961424</v>
      </c>
      <c r="L51" s="443">
        <f t="shared" si="12"/>
        <v>280.27306742194907</v>
      </c>
      <c r="M51" s="443">
        <f t="shared" si="12"/>
        <v>168.94542640001163</v>
      </c>
      <c r="N51" s="444">
        <v>0</v>
      </c>
      <c r="O51" s="443">
        <f t="shared" si="13"/>
        <v>-242.02680909129393</v>
      </c>
      <c r="P51" s="443">
        <f>MIN($H51*('3-time of replacement'!$AE45+SUM(P$33:P50))/('3-time of replacement'!$X45+'3-time of replacement'!$AE45+SUM(H$33:H50)),0)</f>
        <v>-38.246258330655138</v>
      </c>
      <c r="Q51" s="443">
        <f t="shared" si="14"/>
        <v>-168.94542640001163</v>
      </c>
      <c r="R51" s="443">
        <f>MIN($I51*('3-time of replacement'!$AF45+SUM(R$33:R50))/('3-time of replacement'!$Y45+'3-time of replacement'!$AF45+SUM(I$33:I50)),0)</f>
        <v>0</v>
      </c>
      <c r="S51" s="347">
        <f>MAX($G51*'3-time of replacement'!AE45/'3-time of replacement'!$AX45+H51,0)</f>
        <v>0</v>
      </c>
      <c r="T51" s="347">
        <f>MAX($G51*'3-time of replacement'!AF45/'3-time of replacement'!$AX45+I51,0)</f>
        <v>0</v>
      </c>
      <c r="U51" s="347">
        <f t="shared" si="4"/>
        <v>0</v>
      </c>
      <c r="V51" s="347">
        <f>$G51*('3-time of replacement'!AH45-SUM(V$33:V50))/'3-time of replacement'!$AX45</f>
        <v>54.59103055064719</v>
      </c>
      <c r="W51" s="347">
        <f>$G51*('3-time of replacement'!AI45-SUM(W$33:W50))/'3-time of replacement'!$AX45</f>
        <v>51.20554028394038</v>
      </c>
      <c r="X51" s="347">
        <f>$G51*('3-time of replacement'!AJ45-SUM(X$33:X50))/'3-time of replacement'!$AX45</f>
        <v>10.073526687274608</v>
      </c>
      <c r="Y51" s="347">
        <f t="shared" si="5"/>
        <v>835.76132606699639</v>
      </c>
      <c r="Z51" s="394">
        <f>MAX('3-time of replacement'!X45+O51,0)</f>
        <v>118317.07756054233</v>
      </c>
      <c r="AA51" s="394">
        <f>MAX('3-time of replacement'!Y45+Q51,0)</f>
        <v>128567.26616064522</v>
      </c>
      <c r="AB51" s="394">
        <f>'3-time of replacement'!Z45</f>
        <v>0</v>
      </c>
      <c r="AC51" s="394">
        <f>'3-time of replacement'!AA45+K51</f>
        <v>273691.53024610452</v>
      </c>
      <c r="AD51" s="394">
        <f>'3-time of replacement'!AB45+L51</f>
        <v>274548.91467361746</v>
      </c>
      <c r="AE51" s="394">
        <f>'3-time of replacement'!AC45+M51</f>
        <v>349716.42047191825</v>
      </c>
      <c r="AF51" s="394">
        <f>'3-time of replacement'!AD45+N51</f>
        <v>28816.034164378896</v>
      </c>
      <c r="AG51" s="396">
        <f>MAX('3-time of replacement'!AE45+P51,0)</f>
        <v>22311.109202915752</v>
      </c>
      <c r="AH51" s="396">
        <f>MAX('3-time of replacement'!AF45+R51,0)</f>
        <v>0</v>
      </c>
      <c r="AI51" s="396">
        <f>MAX('3-time of replacement'!AG45+J51,0)</f>
        <v>411708.6644632942</v>
      </c>
      <c r="AJ51" s="396">
        <f>'3-time of replacement'!AH45</f>
        <v>28748.269718792319</v>
      </c>
      <c r="AK51" s="396">
        <f>'3-time of replacement'!AI45</f>
        <v>26965.431286619147</v>
      </c>
      <c r="AL51" s="396">
        <f>'3-time of replacement'!AJ45</f>
        <v>5471.7595432784292</v>
      </c>
      <c r="AM51" s="396">
        <f>'3-time of replacement'!AK45</f>
        <v>413326.49855931586</v>
      </c>
      <c r="AN51" s="445">
        <f t="shared" si="15"/>
        <v>140628.18676345807</v>
      </c>
      <c r="AO51" s="445">
        <f t="shared" si="16"/>
        <v>128567.26616064522</v>
      </c>
      <c r="AP51" s="445">
        <f t="shared" si="17"/>
        <v>411708.6644632942</v>
      </c>
      <c r="AQ51" s="445">
        <f t="shared" si="18"/>
        <v>302439.79996489687</v>
      </c>
      <c r="AR51" s="445">
        <f t="shared" si="19"/>
        <v>301514.34596023662</v>
      </c>
      <c r="AS51" s="445">
        <f t="shared" si="20"/>
        <v>355188.18001519667</v>
      </c>
      <c r="AT51" s="445">
        <f t="shared" si="21"/>
        <v>442142.53272369475</v>
      </c>
      <c r="AU51" s="344">
        <f t="shared" si="7"/>
        <v>0</v>
      </c>
      <c r="AV51" s="344">
        <f t="shared" si="8"/>
        <v>-752628.69830006419</v>
      </c>
      <c r="AW51" s="344">
        <f>O51*'Appliance Stock Profile'!$B$21+P51*'Appliance Stock Profile'!$B$20+Q51*'Appliance Stock Profile'!$C$21+R51*'Appliance Stock Profile'!$C$20+J51*'Appliance Stock Profile'!$D$20</f>
        <v>-104478.77161216714</v>
      </c>
      <c r="AX51" s="344">
        <f t="shared" si="9"/>
        <v>591650.89011057664</v>
      </c>
      <c r="AY51" s="344">
        <f>GasEmissions*(AU51+AW51)+'stock-flow model'!$B20*(AV51+AX51)/1000</f>
        <v>-553.73748954448581</v>
      </c>
      <c r="AZ51" s="344">
        <f>MAX(GasEmissions*(SUM($AU$33:$AU51)+SUM($AW$33:$AW51))+'stock-flow model'!$B20*(SUM($AV$33:$AV51)+SUM($AX$33:$AX51))/1000,-'3-time of replacement'!AW45)</f>
        <v>-17629.250573599991</v>
      </c>
      <c r="BA51" s="343">
        <f>'3-time of replacement'!AW45+AZ51</f>
        <v>236816.49707918917</v>
      </c>
      <c r="BB51" s="446">
        <f>MAX(('3-time of replacement'!$Z45+'3-time of replacement'!$AG45)+SUM($J$33:$J51),0)</f>
        <v>397848.40189703036</v>
      </c>
      <c r="BC51" s="344">
        <f>'3-time of replacement'!AY45-SUM(J$33:J51)</f>
        <v>44294.130826664405</v>
      </c>
      <c r="BD51" s="344">
        <f t="shared" si="22"/>
        <v>139702.73275879785</v>
      </c>
      <c r="BE51" s="344">
        <f t="shared" si="23"/>
        <v>925.4540046602342</v>
      </c>
      <c r="BF51" s="36">
        <f t="shared" si="24"/>
        <v>-553.7374895444882</v>
      </c>
      <c r="BG51" s="36">
        <f t="shared" si="25"/>
        <v>-17629.250573599991</v>
      </c>
      <c r="BH51" s="36">
        <f t="shared" si="26"/>
        <v>0</v>
      </c>
    </row>
    <row r="52" spans="1:60" hidden="1" x14ac:dyDescent="0.3">
      <c r="A52" s="257">
        <f t="shared" si="1"/>
        <v>1</v>
      </c>
      <c r="B52" s="342">
        <v>2039</v>
      </c>
      <c r="C52" s="343">
        <f>'3-time of replacement'!AX46+SUM(J$33:J51)</f>
        <v>397819.06486866664</v>
      </c>
      <c r="D52" s="343">
        <f>MAX('2-energy assessment'!BL55-SUM(G$33:G51),0)</f>
        <v>382402.27870061697</v>
      </c>
      <c r="E52" s="344">
        <f t="shared" si="10"/>
        <v>832.66389169376009</v>
      </c>
      <c r="F52" s="344">
        <f t="shared" si="2"/>
        <v>832.66389169376009</v>
      </c>
      <c r="G52" s="344">
        <f t="shared" si="11"/>
        <v>832.66389169376009</v>
      </c>
      <c r="H52" s="443">
        <f>-$G52*MAX(TrueRenovateFurnace=TRUE,TrueRenovateAllGas=TRUE,MIN($C$14+$C$16,1))*(MAX('3-time of replacement'!V46+SUM(H$33:H51),0)/C52)</f>
        <v>-265.84200852228923</v>
      </c>
      <c r="I52" s="443">
        <f>-$G52*MAX(TrueRenovateDHW=TRUE,TrueRenovateAllGas=TRUE,MIN($C$15+$C$16,1))*(MAX('3-time of replacement'!W46+SUM(I$33:I51),0)/C52)</f>
        <v>-153.39674396744488</v>
      </c>
      <c r="J52" s="443">
        <f t="shared" si="3"/>
        <v>-832.66389169376009</v>
      </c>
      <c r="K52" s="443">
        <f>('3-time of replacement'!AZ46/('3-time of replacement'!AE46+'3-time of replacement'!X46))*L52</f>
        <v>264.21617367725725</v>
      </c>
      <c r="L52" s="443">
        <f t="shared" si="12"/>
        <v>265.84200852228923</v>
      </c>
      <c r="M52" s="443">
        <f t="shared" si="12"/>
        <v>153.39674396744488</v>
      </c>
      <c r="N52" s="444">
        <v>0</v>
      </c>
      <c r="O52" s="443">
        <f t="shared" si="13"/>
        <v>-241.70013614888731</v>
      </c>
      <c r="P52" s="443">
        <f>MIN($H52*('3-time of replacement'!$AE46+SUM(P$33:P51))/('3-time of replacement'!$X46+'3-time of replacement'!$AE46+SUM(H$33:H51)),0)</f>
        <v>-24.141872373401917</v>
      </c>
      <c r="Q52" s="443">
        <f t="shared" si="14"/>
        <v>-153.39674396744488</v>
      </c>
      <c r="R52" s="443">
        <f>MIN($I52*('3-time of replacement'!$AF46+SUM(R$33:R51))/('3-time of replacement'!$Y46+'3-time of replacement'!$AF46+SUM(I$33:I51)),0)</f>
        <v>0</v>
      </c>
      <c r="S52" s="347">
        <f>MAX($G52*'3-time of replacement'!AE46/'3-time of replacement'!$AX46+H52,0)</f>
        <v>0</v>
      </c>
      <c r="T52" s="347">
        <f>MAX($G52*'3-time of replacement'!AF46/'3-time of replacement'!$AX46+I52,0)</f>
        <v>0</v>
      </c>
      <c r="U52" s="347">
        <f t="shared" si="4"/>
        <v>0</v>
      </c>
      <c r="V52" s="347">
        <f>$G52*('3-time of replacement'!AH46-SUM(V$33:V51))/'3-time of replacement'!$AX46</f>
        <v>50.413816192956595</v>
      </c>
      <c r="W52" s="347">
        <f>$G52*('3-time of replacement'!AI46-SUM(W$33:W51))/'3-time of replacement'!$AX46</f>
        <v>47.287377979439881</v>
      </c>
      <c r="X52" s="347">
        <f>$G52*('3-time of replacement'!AJ46-SUM(X$33:X51))/'3-time of replacement'!$AX46</f>
        <v>8.9120956766505532</v>
      </c>
      <c r="Y52" s="347">
        <f t="shared" si="5"/>
        <v>832.66389169376009</v>
      </c>
      <c r="Z52" s="394">
        <f>MAX('3-time of replacement'!X46+O52,0)</f>
        <v>118581.38283101738</v>
      </c>
      <c r="AA52" s="394">
        <f>MAX('3-time of replacement'!Y46+Q52,0)</f>
        <v>126996.92200336074</v>
      </c>
      <c r="AB52" s="394">
        <f>'3-time of replacement'!Z46</f>
        <v>0</v>
      </c>
      <c r="AC52" s="394">
        <f>'3-time of replacement'!AA46+K52</f>
        <v>283498.28538595774</v>
      </c>
      <c r="AD52" s="394">
        <f>'3-time of replacement'!AB46+L52</f>
        <v>284341.31822999188</v>
      </c>
      <c r="AE52" s="394">
        <f>'3-time of replacement'!AC46+M52</f>
        <v>358984.36602625356</v>
      </c>
      <c r="AF52" s="394">
        <f>'3-time of replacement'!AD46+N52</f>
        <v>30416.924951288835</v>
      </c>
      <c r="AG52" s="396">
        <f>MAX('3-time of replacement'!AE46+P52,0)</f>
        <v>15652.986582084231</v>
      </c>
      <c r="AH52" s="396">
        <f>MAX('3-time of replacement'!AF46+R52,0)</f>
        <v>0</v>
      </c>
      <c r="AI52" s="396">
        <f>MAX('3-time of replacement'!AG46+J52,0)</f>
        <v>411682.42486930371</v>
      </c>
      <c r="AJ52" s="396">
        <f>'3-time of replacement'!AH46</f>
        <v>26831.718404206171</v>
      </c>
      <c r="AK52" s="396">
        <f>'3-time of replacement'!AI46</f>
        <v>25167.735867511205</v>
      </c>
      <c r="AL52" s="396">
        <f>'3-time of replacement'!AJ46</f>
        <v>4924.5835889505834</v>
      </c>
      <c r="AM52" s="396">
        <f>'3-time of replacement'!AK46</f>
        <v>413326.49855931586</v>
      </c>
      <c r="AN52" s="445">
        <f t="shared" si="15"/>
        <v>134234.36941310161</v>
      </c>
      <c r="AO52" s="445">
        <f t="shared" si="16"/>
        <v>126996.92200336074</v>
      </c>
      <c r="AP52" s="445">
        <f t="shared" si="17"/>
        <v>411682.42486930371</v>
      </c>
      <c r="AQ52" s="445">
        <f t="shared" si="18"/>
        <v>310330.0037901639</v>
      </c>
      <c r="AR52" s="445">
        <f t="shared" si="19"/>
        <v>309509.05409750307</v>
      </c>
      <c r="AS52" s="445">
        <f t="shared" si="20"/>
        <v>363908.94961520412</v>
      </c>
      <c r="AT52" s="445">
        <f t="shared" si="21"/>
        <v>443743.42351060471</v>
      </c>
      <c r="AU52" s="344">
        <f t="shared" si="7"/>
        <v>0</v>
      </c>
      <c r="AV52" s="344">
        <f t="shared" si="8"/>
        <v>-748243.85113423737</v>
      </c>
      <c r="AW52" s="344">
        <f>O52*'Appliance Stock Profile'!$B$21+P52*'Appliance Stock Profile'!$B$20+Q52*'Appliance Stock Profile'!$C$21+R52*'Appliance Stock Profile'!$C$20+J52*'Appliance Stock Profile'!$D$20</f>
        <v>-98527.558545153966</v>
      </c>
      <c r="AX52" s="344">
        <f t="shared" si="9"/>
        <v>556344.40269720741</v>
      </c>
      <c r="AY52" s="344">
        <f>GasEmissions*(AU52+AW52)+'stock-flow model'!$B21*(AV52+AX52)/1000</f>
        <v>-522.19606028931605</v>
      </c>
      <c r="AZ52" s="344">
        <f>MAX(GasEmissions*(SUM($AU$33:$AU52)+SUM($AW$33:$AW52))+'stock-flow model'!$B21*(SUM($AV$33:$AV52)+SUM($AX$33:$AX52))/1000,-'3-time of replacement'!AW46)</f>
        <v>-18151.446633889307</v>
      </c>
      <c r="BA52" s="343">
        <f>'3-time of replacement'!AW46+AZ52</f>
        <v>219075.97612079853</v>
      </c>
      <c r="BB52" s="446">
        <f>MAX(('3-time of replacement'!$Z46+'3-time of replacement'!$AG46)+SUM($J$33:$J52),0)</f>
        <v>396986.40097697289</v>
      </c>
      <c r="BC52" s="344">
        <f>'3-time of replacement'!AY46-SUM(J$33:J52)</f>
        <v>46757.022533631811</v>
      </c>
      <c r="BD52" s="344">
        <f t="shared" si="22"/>
        <v>133413.41972044078</v>
      </c>
      <c r="BE52" s="344">
        <f t="shared" si="23"/>
        <v>820.94969266082626</v>
      </c>
      <c r="BF52" s="36">
        <f t="shared" si="24"/>
        <v>-522.19606028931594</v>
      </c>
      <c r="BG52" s="36">
        <f t="shared" si="25"/>
        <v>-18151.446633889307</v>
      </c>
      <c r="BH52" s="36">
        <f t="shared" si="26"/>
        <v>0</v>
      </c>
    </row>
    <row r="53" spans="1:60" hidden="1" x14ac:dyDescent="0.3">
      <c r="A53" s="257">
        <f t="shared" si="1"/>
        <v>1</v>
      </c>
      <c r="B53" s="342">
        <v>2040</v>
      </c>
      <c r="C53" s="343">
        <f>'3-time of replacement'!AX47+SUM(J$33:J52)</f>
        <v>396958.41231567424</v>
      </c>
      <c r="D53" s="343">
        <f>MAX('2-energy assessment'!BL56-SUM(G$33:G52),0)</f>
        <v>381009.84158295084</v>
      </c>
      <c r="E53" s="344">
        <f t="shared" si="10"/>
        <v>829.63192202748496</v>
      </c>
      <c r="F53" s="344">
        <f t="shared" si="2"/>
        <v>829.63192202748496</v>
      </c>
      <c r="G53" s="344">
        <f t="shared" si="11"/>
        <v>829.63192202748496</v>
      </c>
      <c r="H53" s="443">
        <f>-$G53*MAX(TrueRenovateFurnace=TRUE,TrueRenovateAllGas=TRUE,MIN($C$14+$C$16,1))*(MAX('3-time of replacement'!V47+SUM(H$33:H52),0)/C53)</f>
        <v>-252.11765681334217</v>
      </c>
      <c r="I53" s="443">
        <f>-$G53*MAX(TrueRenovateDHW=TRUE,TrueRenovateAllGas=TRUE,MIN($C$15+$C$16,1))*(MAX('3-time of replacement'!W47+SUM(I$33:I52),0)/C53)</f>
        <v>-139.15825767809957</v>
      </c>
      <c r="J53" s="443">
        <f t="shared" si="3"/>
        <v>-829.63192202748496</v>
      </c>
      <c r="K53" s="443">
        <f>('3-time of replacement'!AZ47/('3-time of replacement'!AE47+'3-time of replacement'!X47))*L53</f>
        <v>250.68549528747491</v>
      </c>
      <c r="L53" s="443">
        <f t="shared" si="12"/>
        <v>252.11765681334217</v>
      </c>
      <c r="M53" s="443">
        <f t="shared" si="12"/>
        <v>139.15825767809957</v>
      </c>
      <c r="N53" s="444">
        <v>0</v>
      </c>
      <c r="O53" s="443">
        <f t="shared" si="13"/>
        <v>-240.78085593788987</v>
      </c>
      <c r="P53" s="443">
        <f>MIN($H53*('3-time of replacement'!$AE47+SUM(P$33:P52))/('3-time of replacement'!$X47+'3-time of replacement'!$AE47+SUM(H$33:H52)),0)</f>
        <v>-11.336800875452303</v>
      </c>
      <c r="Q53" s="443">
        <f t="shared" si="14"/>
        <v>-139.15825767809957</v>
      </c>
      <c r="R53" s="443">
        <f>MIN($I53*('3-time of replacement'!$AF47+SUM(R$33:R52))/('3-time of replacement'!$Y47+'3-time of replacement'!$AF47+SUM(I$33:I52)),0)</f>
        <v>0</v>
      </c>
      <c r="S53" s="347">
        <f>MAX($G53*'3-time of replacement'!AE47/'3-time of replacement'!$AX47+H53,0)</f>
        <v>0</v>
      </c>
      <c r="T53" s="347">
        <f>MAX($G53*'3-time of replacement'!AF47/'3-time of replacement'!$AX47+I53,0)</f>
        <v>0</v>
      </c>
      <c r="U53" s="347">
        <f t="shared" si="4"/>
        <v>0</v>
      </c>
      <c r="V53" s="347">
        <f>$G53*('3-time of replacement'!AH47-SUM(V$33:V52))/'3-time of replacement'!$AX47</f>
        <v>46.534495316091522</v>
      </c>
      <c r="W53" s="347">
        <f>$G53*('3-time of replacement'!AI47-SUM(W$33:W52))/'3-time of replacement'!$AX47</f>
        <v>43.648635141450157</v>
      </c>
      <c r="X53" s="347">
        <f>$G53*('3-time of replacement'!AJ47-SUM(X$33:X52))/'3-time of replacement'!$AX47</f>
        <v>7.8718443930831157</v>
      </c>
      <c r="Y53" s="347">
        <f t="shared" si="5"/>
        <v>829.63192202748496</v>
      </c>
      <c r="Z53" s="394">
        <f>MAX('3-time of replacement'!X47+O53,0)</f>
        <v>118555.4309784701</v>
      </c>
      <c r="AA53" s="394">
        <f>MAX('3-time of replacement'!Y47+Q53,0)</f>
        <v>125505.19558982248</v>
      </c>
      <c r="AB53" s="394">
        <f>'3-time of replacement'!Z47</f>
        <v>0</v>
      </c>
      <c r="AC53" s="394">
        <f>'3-time of replacement'!AA47+K53</f>
        <v>292893.69298304612</v>
      </c>
      <c r="AD53" s="394">
        <f>'3-time of replacement'!AB47+L53</f>
        <v>293718.86564429366</v>
      </c>
      <c r="AE53" s="394">
        <f>'3-time of replacement'!AC47+M53</f>
        <v>367614.13931364712</v>
      </c>
      <c r="AF53" s="394">
        <f>'3-time of replacement'!AD47+N53</f>
        <v>32017.815738198773</v>
      </c>
      <c r="AG53" s="396">
        <f>MAX('3-time of replacement'!AE47+P53,0)</f>
        <v>9580.1308650737301</v>
      </c>
      <c r="AH53" s="396">
        <f>MAX('3-time of replacement'!AF47+R53,0)</f>
        <v>0</v>
      </c>
      <c r="AI53" s="396">
        <f>MAX('3-time of replacement'!AG47+J53,0)</f>
        <v>411657.46817767131</v>
      </c>
      <c r="AJ53" s="396">
        <f>'3-time of replacement'!AH47</f>
        <v>25042.937177259097</v>
      </c>
      <c r="AK53" s="396">
        <f>'3-time of replacement'!AI47</f>
        <v>23489.886809677118</v>
      </c>
      <c r="AL53" s="396">
        <f>'3-time of replacement'!AJ47</f>
        <v>4432.1252300555279</v>
      </c>
      <c r="AM53" s="396">
        <f>'3-time of replacement'!AK47</f>
        <v>413326.49855931586</v>
      </c>
      <c r="AN53" s="445">
        <f t="shared" si="15"/>
        <v>128135.56184354384</v>
      </c>
      <c r="AO53" s="445">
        <f t="shared" si="16"/>
        <v>125505.19558982248</v>
      </c>
      <c r="AP53" s="445">
        <f t="shared" si="17"/>
        <v>411657.46817767131</v>
      </c>
      <c r="AQ53" s="445">
        <f t="shared" si="18"/>
        <v>317936.63016030518</v>
      </c>
      <c r="AR53" s="445">
        <f t="shared" si="19"/>
        <v>317208.75245397078</v>
      </c>
      <c r="AS53" s="445">
        <f t="shared" si="20"/>
        <v>372046.26454370265</v>
      </c>
      <c r="AT53" s="445">
        <f t="shared" si="21"/>
        <v>445344.31429751462</v>
      </c>
      <c r="AU53" s="344">
        <f t="shared" si="7"/>
        <v>0</v>
      </c>
      <c r="AV53" s="344">
        <f t="shared" si="8"/>
        <v>-744042.81713323737</v>
      </c>
      <c r="AW53" s="344">
        <f>O53*'Appliance Stock Profile'!$B$21+P53*'Appliance Stock Profile'!$B$20+Q53*'Appliance Stock Profile'!$C$21+R53*'Appliance Stock Profile'!$C$20+J53*'Appliance Stock Profile'!$D$20</f>
        <v>-92978.290172263049</v>
      </c>
      <c r="AX53" s="344">
        <f t="shared" si="9"/>
        <v>523153.17927436315</v>
      </c>
      <c r="AY53" s="344">
        <f>GasEmissions*(AU53+AW53)+'stock-flow model'!$B22*(AV53+AX53)/1000</f>
        <v>-492.78493791299417</v>
      </c>
      <c r="AZ53" s="344">
        <f>MAX(GasEmissions*(SUM($AU$33:$AU53)+SUM($AW$33:$AW53))+'stock-flow model'!$B22*(SUM($AV$33:$AV53)+SUM($AX$33:$AX53))/1000,-'3-time of replacement'!AW47)</f>
        <v>-18644.231571802302</v>
      </c>
      <c r="BA53" s="343">
        <f>'3-time of replacement'!AW47+AZ53</f>
        <v>202576.03847119847</v>
      </c>
      <c r="BB53" s="446">
        <f>MAX(('3-time of replacement'!$Z47+'3-time of replacement'!$AG47)+SUM($J$33:$J53),0)</f>
        <v>396128.78039364674</v>
      </c>
      <c r="BC53" s="344">
        <f>'3-time of replacement'!AY47-SUM(J$33:J53)</f>
        <v>49215.533903867858</v>
      </c>
      <c r="BD53" s="344">
        <f t="shared" si="22"/>
        <v>127407.68413720938</v>
      </c>
      <c r="BE53" s="344">
        <f t="shared" si="23"/>
        <v>727.87770633443142</v>
      </c>
      <c r="BF53" s="36">
        <f t="shared" si="24"/>
        <v>-492.78493791299479</v>
      </c>
      <c r="BG53" s="36">
        <f t="shared" si="25"/>
        <v>-18644.231571802302</v>
      </c>
      <c r="BH53" s="36">
        <f t="shared" si="26"/>
        <v>0</v>
      </c>
    </row>
    <row r="54" spans="1:60" hidden="1" x14ac:dyDescent="0.3">
      <c r="A54" s="257">
        <f t="shared" si="1"/>
        <v>1</v>
      </c>
      <c r="B54" s="342">
        <v>2041</v>
      </c>
      <c r="C54" s="343">
        <f>'3-time of replacement'!AX48+SUM(J$33:J53)</f>
        <v>396102.07812675129</v>
      </c>
      <c r="D54" s="343">
        <f>MAX('2-energy assessment'!BL57-SUM(G$33:G53),0)</f>
        <v>379646.16432301339</v>
      </c>
      <c r="E54" s="344">
        <f t="shared" si="10"/>
        <v>826.66257566759384</v>
      </c>
      <c r="F54" s="344">
        <f t="shared" si="2"/>
        <v>826.66257566759384</v>
      </c>
      <c r="G54" s="344">
        <f t="shared" si="11"/>
        <v>826.66257566759384</v>
      </c>
      <c r="H54" s="443">
        <f>-$G54*MAX(TrueRenovateFurnace=TRUE,TrueRenovateAllGas=TRUE,MIN($C$14+$C$16,1))*(MAX('3-time of replacement'!V48+SUM(H$33:H53),0)/C54)</f>
        <v>-239.06316878495798</v>
      </c>
      <c r="I54" s="443">
        <f>-$G54*MAX(TrueRenovateDHW=TRUE,TrueRenovateAllGas=TRUE,MIN($C$15+$C$16,1))*(MAX('3-time of replacement'!W48+SUM(I$33:I53),0)/C54)</f>
        <v>-126.11863374377994</v>
      </c>
      <c r="J54" s="443">
        <f t="shared" si="3"/>
        <v>-826.66257566759384</v>
      </c>
      <c r="K54" s="443">
        <f>('3-time of replacement'!AZ48/('3-time of replacement'!AE48+'3-time of replacement'!X48))*L54</f>
        <v>237.80250515621179</v>
      </c>
      <c r="L54" s="443">
        <f t="shared" si="12"/>
        <v>239.06316878495798</v>
      </c>
      <c r="M54" s="443">
        <f t="shared" si="12"/>
        <v>126.11863374377994</v>
      </c>
      <c r="N54" s="444">
        <v>0</v>
      </c>
      <c r="O54" s="443">
        <f t="shared" si="13"/>
        <v>-239.06316878495798</v>
      </c>
      <c r="P54" s="443">
        <f>MIN($H54*('3-time of replacement'!$AE48+SUM(P$33:P53))/('3-time of replacement'!$X48+'3-time of replacement'!$AE48+SUM(H$33:H53)),0)</f>
        <v>0</v>
      </c>
      <c r="Q54" s="443">
        <f t="shared" si="14"/>
        <v>-126.11863374377994</v>
      </c>
      <c r="R54" s="443">
        <f>MIN($I54*('3-time of replacement'!$AF48+SUM(R$33:R53))/('3-time of replacement'!$Y48+'3-time of replacement'!$AF48+SUM(I$33:I53)),0)</f>
        <v>0</v>
      </c>
      <c r="S54" s="347">
        <f>MAX($G54*'3-time of replacement'!AE48/'3-time of replacement'!$AX48+H54,0)</f>
        <v>0</v>
      </c>
      <c r="T54" s="347">
        <f>MAX($G54*'3-time of replacement'!AF48/'3-time of replacement'!$AX48+I54,0)</f>
        <v>0</v>
      </c>
      <c r="U54" s="347">
        <f t="shared" si="4"/>
        <v>0</v>
      </c>
      <c r="V54" s="347">
        <f>$G54*('3-time of replacement'!AH48-SUM(V$33:V53))/'3-time of replacement'!$AX48</f>
        <v>42.93157086437072</v>
      </c>
      <c r="W54" s="347">
        <f>$G54*('3-time of replacement'!AI48-SUM(W$33:W53))/'3-time of replacement'!$AX48</f>
        <v>40.269147865029872</v>
      </c>
      <c r="X54" s="347">
        <f>$G54*('3-time of replacement'!AJ48-SUM(X$33:X53))/'3-time of replacement'!$AX48</f>
        <v>6.9401043440183683</v>
      </c>
      <c r="Y54" s="347">
        <f t="shared" si="5"/>
        <v>826.66257566759384</v>
      </c>
      <c r="Z54" s="394">
        <f>MAX('3-time of replacement'!X48+O54,0)</f>
        <v>118266.50427326285</v>
      </c>
      <c r="AA54" s="394">
        <f>MAX('3-time of replacement'!Y48+Q54,0)</f>
        <v>124090.16469938203</v>
      </c>
      <c r="AB54" s="394">
        <f>'3-time of replacement'!Z48</f>
        <v>0</v>
      </c>
      <c r="AC54" s="394">
        <f>'3-time of replacement'!AA48+K54</f>
        <v>301899.11119976395</v>
      </c>
      <c r="AD54" s="394">
        <f>'3-time of replacement'!AB48+L54</f>
        <v>302703.60084850254</v>
      </c>
      <c r="AE54" s="394">
        <f>'3-time of replacement'!AC48+M54</f>
        <v>375659.07248911337</v>
      </c>
      <c r="AF54" s="394">
        <f>'3-time of replacement'!AD48+N54</f>
        <v>33618.706525108712</v>
      </c>
      <c r="AG54" s="396">
        <f>MAX('3-time of replacement'!AE48+P54,0)</f>
        <v>4051.2056069604878</v>
      </c>
      <c r="AH54" s="396">
        <f>MAX('3-time of replacement'!AF48+R54,0)</f>
        <v>0</v>
      </c>
      <c r="AI54" s="396">
        <f>MAX('3-time of replacement'!AG48+J54,0)</f>
        <v>411633.73525713576</v>
      </c>
      <c r="AJ54" s="396">
        <f>'3-time of replacement'!AH48</f>
        <v>23373.408032108491</v>
      </c>
      <c r="AK54" s="396">
        <f>'3-time of replacement'!AI48</f>
        <v>21923.894355698649</v>
      </c>
      <c r="AL54" s="396">
        <f>'3-time of replacement'!AJ48</f>
        <v>3988.9127070499744</v>
      </c>
      <c r="AM54" s="396">
        <f>'3-time of replacement'!AK48</f>
        <v>413326.49855931586</v>
      </c>
      <c r="AN54" s="445">
        <f t="shared" si="15"/>
        <v>122317.70988022334</v>
      </c>
      <c r="AO54" s="445">
        <f t="shared" si="16"/>
        <v>124090.16469938203</v>
      </c>
      <c r="AP54" s="445">
        <f t="shared" si="17"/>
        <v>411633.73525713576</v>
      </c>
      <c r="AQ54" s="445">
        <f t="shared" si="18"/>
        <v>325272.51923187246</v>
      </c>
      <c r="AR54" s="445">
        <f t="shared" si="19"/>
        <v>324627.4952042012</v>
      </c>
      <c r="AS54" s="445">
        <f t="shared" si="20"/>
        <v>379647.98519616335</v>
      </c>
      <c r="AT54" s="445">
        <f t="shared" si="21"/>
        <v>446945.20508442458</v>
      </c>
      <c r="AU54" s="344">
        <f t="shared" si="7"/>
        <v>0</v>
      </c>
      <c r="AV54" s="344">
        <f t="shared" si="8"/>
        <v>-740013.24451585079</v>
      </c>
      <c r="AW54" s="344">
        <f>O54*'Appliance Stock Profile'!$B$21+P54*'Appliance Stock Profile'!$B$20+Q54*'Appliance Stock Profile'!$C$21+R54*'Appliance Stock Profile'!$C$20+J54*'Appliance Stock Profile'!$D$20</f>
        <v>-87813.998680782053</v>
      </c>
      <c r="AX54" s="344">
        <f t="shared" si="9"/>
        <v>491936.79001872201</v>
      </c>
      <c r="AY54" s="344">
        <f>GasEmissions*(AU54+AW54)+'stock-flow model'!$B23*(AV54+AX54)/1000</f>
        <v>-465.41419300814488</v>
      </c>
      <c r="AZ54" s="344">
        <f>MAX(GasEmissions*(SUM($AU$33:$AU54)+SUM($AW$33:$AW54))+'stock-flow model'!$B23*(SUM($AV$33:$AV54)+SUM($AX$33:$AX54))/1000,-'3-time of replacement'!AW48)</f>
        <v>-19109.645764810444</v>
      </c>
      <c r="BA54" s="343">
        <f>'3-time of replacement'!AW48+AZ54</f>
        <v>187224.87167325447</v>
      </c>
      <c r="BB54" s="446">
        <f>MAX(('3-time of replacement'!$Z48+'3-time of replacement'!$AG48)+SUM($J$33:$J54),0)</f>
        <v>395275.41555108374</v>
      </c>
      <c r="BC54" s="344">
        <f>'3-time of replacement'!AY48-SUM(J$33:J54)</f>
        <v>51669.789533340889</v>
      </c>
      <c r="BD54" s="344">
        <f t="shared" si="22"/>
        <v>121672.68585255209</v>
      </c>
      <c r="BE54" s="344">
        <f t="shared" si="23"/>
        <v>645.0240276712575</v>
      </c>
      <c r="BF54" s="36">
        <f t="shared" si="24"/>
        <v>-465.41419300814232</v>
      </c>
      <c r="BG54" s="36">
        <f t="shared" si="25"/>
        <v>-19109.645764810444</v>
      </c>
      <c r="BH54" s="36">
        <f t="shared" si="26"/>
        <v>0</v>
      </c>
    </row>
    <row r="55" spans="1:60" hidden="1" x14ac:dyDescent="0.3">
      <c r="A55" s="257">
        <f t="shared" si="1"/>
        <v>1</v>
      </c>
      <c r="B55" s="342">
        <v>2042</v>
      </c>
      <c r="C55" s="343">
        <f>'3-time of replacement'!AX49+SUM(J$33:J54)</f>
        <v>395249.94055427157</v>
      </c>
      <c r="D55" s="343">
        <f>MAX('2-energy assessment'!BL58-SUM(G$33:G54),0)</f>
        <v>378310.00181110285</v>
      </c>
      <c r="E55" s="344">
        <f t="shared" si="10"/>
        <v>823.7531414432915</v>
      </c>
      <c r="F55" s="344">
        <f t="shared" si="2"/>
        <v>823.7531414432915</v>
      </c>
      <c r="G55" s="344">
        <f t="shared" si="11"/>
        <v>823.7531414432915</v>
      </c>
      <c r="H55" s="443">
        <f>-$G55*MAX(TrueRenovateFurnace=TRUE,TrueRenovateAllGas=TRUE,MIN($C$14+$C$16,1))*(MAX('3-time of replacement'!V49+SUM(H$33:H54),0)/C55)</f>
        <v>-226.64383057405075</v>
      </c>
      <c r="I55" s="443">
        <f>-$G55*MAX(TrueRenovateDHW=TRUE,TrueRenovateAllGas=TRUE,MIN($C$15+$C$16,1))*(MAX('3-time of replacement'!W49+SUM(I$33:I54),0)/C55)</f>
        <v>-114.17614460744788</v>
      </c>
      <c r="J55" s="443">
        <f t="shared" si="3"/>
        <v>-823.7531414432915</v>
      </c>
      <c r="K55" s="443">
        <f>('3-time of replacement'!AZ49/('3-time of replacement'!AE49+'3-time of replacement'!X49))*L55</f>
        <v>225.54461296007173</v>
      </c>
      <c r="L55" s="443">
        <f t="shared" si="12"/>
        <v>226.64383057405075</v>
      </c>
      <c r="M55" s="443">
        <f t="shared" si="12"/>
        <v>114.17614460744788</v>
      </c>
      <c r="N55" s="444">
        <v>0</v>
      </c>
      <c r="O55" s="443">
        <f t="shared" si="13"/>
        <v>-226.64383057405075</v>
      </c>
      <c r="P55" s="443">
        <f>MIN($H55*('3-time of replacement'!$AE49+SUM(P$33:P54))/('3-time of replacement'!$X49+'3-time of replacement'!$AE49+SUM(H$33:H54)),0)</f>
        <v>0</v>
      </c>
      <c r="Q55" s="443">
        <f t="shared" si="14"/>
        <v>-114.17614460744788</v>
      </c>
      <c r="R55" s="443">
        <f>MIN($I55*('3-time of replacement'!$AF49+SUM(R$33:R54))/('3-time of replacement'!$Y49+'3-time of replacement'!$AF49+SUM(I$33:I54)),0)</f>
        <v>0</v>
      </c>
      <c r="S55" s="347">
        <f>MAX($G55*'3-time of replacement'!AE49/'3-time of replacement'!$AX49+H55,0)</f>
        <v>0</v>
      </c>
      <c r="T55" s="347">
        <f>MAX($G55*'3-time of replacement'!AF49/'3-time of replacement'!$AX49+I55,0)</f>
        <v>0</v>
      </c>
      <c r="U55" s="347">
        <f t="shared" si="4"/>
        <v>0</v>
      </c>
      <c r="V55" s="347">
        <f>$G55*('3-time of replacement'!AH49-SUM(V$33:V54))/'3-time of replacement'!$AX49</f>
        <v>39.585133613985946</v>
      </c>
      <c r="W55" s="347">
        <f>$G55*('3-time of replacement'!AI49-SUM(W$33:W54))/'3-time of replacement'!$AX49</f>
        <v>37.130241606917025</v>
      </c>
      <c r="X55" s="347">
        <f>$G55*('3-time of replacement'!AJ49-SUM(X$33:X54))/'3-time of replacement'!$AX49</f>
        <v>6.1055419236531554</v>
      </c>
      <c r="Y55" s="347">
        <f t="shared" si="5"/>
        <v>823.7531414432915</v>
      </c>
      <c r="Z55" s="394">
        <f>MAX('3-time of replacement'!X49+O55,0)</f>
        <v>117796.24352310156</v>
      </c>
      <c r="AA55" s="394">
        <f>MAX('3-time of replacement'!Y49+Q55,0)</f>
        <v>122749.65736751986</v>
      </c>
      <c r="AB55" s="394">
        <f>'3-time of replacement'!Z49</f>
        <v>0</v>
      </c>
      <c r="AC55" s="394">
        <f>'3-time of replacement'!AA49+K55</f>
        <v>310534.75109906675</v>
      </c>
      <c r="AD55" s="394">
        <f>'3-time of replacement'!AB49+L55</f>
        <v>311316.32132945181</v>
      </c>
      <c r="AE55" s="394">
        <f>'3-time of replacement'!AC49+M55</f>
        <v>383168.01827059424</v>
      </c>
      <c r="AF55" s="394">
        <f>'3-time of replacement'!AD49+N55</f>
        <v>35219.597312018654</v>
      </c>
      <c r="AG55" s="396">
        <f>MAX('3-time of replacement'!AE49+P55,0)</f>
        <v>0</v>
      </c>
      <c r="AH55" s="396">
        <f>MAX('3-time of replacement'!AF49+R55,0)</f>
        <v>0</v>
      </c>
      <c r="AI55" s="396">
        <f>MAX('3-time of replacement'!AG49+J55,0)</f>
        <v>411611.16969454789</v>
      </c>
      <c r="AJ55" s="396">
        <f>'3-time of replacement'!AH49</f>
        <v>21815.180829967925</v>
      </c>
      <c r="AK55" s="396">
        <f>'3-time of replacement'!AI49</f>
        <v>20462.301398652067</v>
      </c>
      <c r="AL55" s="396">
        <f>'3-time of replacement'!AJ49</f>
        <v>3590.0214363449777</v>
      </c>
      <c r="AM55" s="396">
        <f>'3-time of replacement'!AK49</f>
        <v>413326.49855931586</v>
      </c>
      <c r="AN55" s="445">
        <f t="shared" si="15"/>
        <v>117796.24352310156</v>
      </c>
      <c r="AO55" s="445">
        <f t="shared" si="16"/>
        <v>122749.65736751986</v>
      </c>
      <c r="AP55" s="445">
        <f t="shared" si="17"/>
        <v>411611.16969454789</v>
      </c>
      <c r="AQ55" s="445">
        <f t="shared" si="18"/>
        <v>332349.93192903465</v>
      </c>
      <c r="AR55" s="445">
        <f t="shared" si="19"/>
        <v>331778.62272810389</v>
      </c>
      <c r="AS55" s="445">
        <f t="shared" si="20"/>
        <v>386758.03970693925</v>
      </c>
      <c r="AT55" s="445">
        <f t="shared" si="21"/>
        <v>448546.09587133455</v>
      </c>
      <c r="AU55" s="344">
        <f t="shared" si="7"/>
        <v>0</v>
      </c>
      <c r="AV55" s="344">
        <f t="shared" si="8"/>
        <v>-736143.69893559569</v>
      </c>
      <c r="AW55" s="344">
        <f>O55*'Appliance Stock Profile'!$B$21+P55*'Appliance Stock Profile'!$B$20+Q55*'Appliance Stock Profile'!$C$21+R55*'Appliance Stock Profile'!$C$20+J55*'Appliance Stock Profile'!$D$20</f>
        <v>-83456.603943113922</v>
      </c>
      <c r="AX55" s="344">
        <f t="shared" si="9"/>
        <v>462568.96102430689</v>
      </c>
      <c r="AY55" s="344">
        <f>GasEmissions*(AU55+AW55)+'stock-flow model'!$B24*(AV55+AX55)/1000</f>
        <v>-442.32000089850379</v>
      </c>
      <c r="AZ55" s="344">
        <f>MAX(GasEmissions*(SUM($AU$33:$AU55)+SUM($AW$33:$AW55))+'stock-flow model'!$B24*(SUM($AV$33:$AV55)+SUM($AX$33:$AX55))/1000,-'3-time of replacement'!AW49)</f>
        <v>-19551.965765708948</v>
      </c>
      <c r="BA55" s="343">
        <f>'3-time of replacement'!AW49+AZ55</f>
        <v>172924.28624804341</v>
      </c>
      <c r="BB55" s="446">
        <f>MAX(('3-time of replacement'!$Z49+'3-time of replacement'!$AG49)+SUM($J$33:$J55),0)</f>
        <v>394426.18741282827</v>
      </c>
      <c r="BC55" s="344">
        <f>'3-time of replacement'!AY49-SUM(J$33:J55)</f>
        <v>54119.908458506266</v>
      </c>
      <c r="BD55" s="344">
        <f t="shared" si="22"/>
        <v>117224.93432217075</v>
      </c>
      <c r="BE55" s="344">
        <f t="shared" si="23"/>
        <v>571.30920093080204</v>
      </c>
      <c r="BF55" s="36">
        <f t="shared" si="24"/>
        <v>-442.32000089850408</v>
      </c>
      <c r="BG55" s="36">
        <f t="shared" si="25"/>
        <v>-19551.965765708948</v>
      </c>
      <c r="BH55" s="36">
        <f t="shared" si="26"/>
        <v>0</v>
      </c>
    </row>
    <row r="56" spans="1:60" hidden="1" x14ac:dyDescent="0.3">
      <c r="A56" s="257">
        <f t="shared" si="1"/>
        <v>1</v>
      </c>
      <c r="B56" s="342">
        <v>2043</v>
      </c>
      <c r="C56" s="343">
        <f>'3-time of replacement'!AX50+SUM(J$33:J55)</f>
        <v>394401.8832792085</v>
      </c>
      <c r="D56" s="343">
        <f>MAX('2-energy assessment'!BL59-SUM(G$33:G55),0)</f>
        <v>377000.16599726427</v>
      </c>
      <c r="E56" s="344">
        <f t="shared" si="10"/>
        <v>820.90103242883515</v>
      </c>
      <c r="F56" s="344">
        <f t="shared" si="2"/>
        <v>820.90103242883515</v>
      </c>
      <c r="G56" s="344">
        <f t="shared" si="11"/>
        <v>820.90103242883515</v>
      </c>
      <c r="H56" s="443">
        <f>-$G56*MAX(TrueRenovateFurnace=TRUE,TrueRenovateAllGas=TRUE,MIN($C$14+$C$16,1))*(MAX('3-time of replacement'!V50+SUM(H$33:H55),0)/C56)</f>
        <v>-214.82691746584734</v>
      </c>
      <c r="I56" s="443">
        <f>-$G56*MAX(TrueRenovateDHW=TRUE,TrueRenovateAllGas=TRUE,MIN($C$15+$C$16,1))*(MAX('3-time of replacement'!W50+SUM(I$33:I55),0)/C56)</f>
        <v>-103.23782255541587</v>
      </c>
      <c r="J56" s="443">
        <f t="shared" si="3"/>
        <v>-820.90103242883515</v>
      </c>
      <c r="K56" s="443">
        <f>('3-time of replacement'!AZ50/('3-time of replacement'!AE50+'3-time of replacement'!X50))*L56</f>
        <v>213.90083153381121</v>
      </c>
      <c r="L56" s="443">
        <f t="shared" si="12"/>
        <v>214.82691746584734</v>
      </c>
      <c r="M56" s="443">
        <f t="shared" si="12"/>
        <v>103.23782255541587</v>
      </c>
      <c r="N56" s="444">
        <v>0</v>
      </c>
      <c r="O56" s="443">
        <f t="shared" si="13"/>
        <v>-214.82691746584734</v>
      </c>
      <c r="P56" s="443">
        <f>MIN($H56*('3-time of replacement'!$AE50+SUM(P$33:P55))/('3-time of replacement'!$X50+'3-time of replacement'!$AE50+SUM(H$33:H55)),0)</f>
        <v>0</v>
      </c>
      <c r="Q56" s="443">
        <f t="shared" si="14"/>
        <v>-103.23782255541587</v>
      </c>
      <c r="R56" s="443">
        <f>MIN($I56*('3-time of replacement'!$AF50+SUM(R$33:R55))/('3-time of replacement'!$Y50+'3-time of replacement'!$AF50+SUM(I$33:I55)),0)</f>
        <v>0</v>
      </c>
      <c r="S56" s="347">
        <f>MAX($G56*'3-time of replacement'!AE50/'3-time of replacement'!$AX50+H56,0)</f>
        <v>0</v>
      </c>
      <c r="T56" s="347">
        <f>MAX($G56*'3-time of replacement'!AF50/'3-time of replacement'!$AX50+I56,0)</f>
        <v>0</v>
      </c>
      <c r="U56" s="347">
        <f t="shared" si="4"/>
        <v>0</v>
      </c>
      <c r="V56" s="347">
        <f>$G56*('3-time of replacement'!AH50-SUM(V$33:V55))/'3-time of replacement'!$AX50</f>
        <v>36.476741026919989</v>
      </c>
      <c r="W56" s="347">
        <f>$G56*('3-time of replacement'!AI50-SUM(W$33:W55))/'3-time of replacement'!$AX50</f>
        <v>34.2146175523823</v>
      </c>
      <c r="X56" s="347">
        <f>$G56*('3-time of replacement'!AJ50-SUM(X$33:X55))/'3-time of replacement'!$AX50</f>
        <v>5.3580162515210565</v>
      </c>
      <c r="Y56" s="347">
        <f t="shared" si="5"/>
        <v>820.90103242883515</v>
      </c>
      <c r="Z56" s="394">
        <f>MAX('3-time of replacement'!X50+O56,0)</f>
        <v>117326.41170758763</v>
      </c>
      <c r="AA56" s="394">
        <f>MAX('3-time of replacement'!Y50+Q56,0)</f>
        <v>121481.30892397693</v>
      </c>
      <c r="AB56" s="394">
        <f>'3-time of replacement'!Z50</f>
        <v>0</v>
      </c>
      <c r="AC56" s="394">
        <f>'3-time of replacement'!AA50+K56</f>
        <v>318819.74276875512</v>
      </c>
      <c r="AD56" s="394">
        <f>'3-time of replacement'!AB50+L56</f>
        <v>319576.6540502485</v>
      </c>
      <c r="AE56" s="394">
        <f>'3-time of replacement'!AC50+M56</f>
        <v>390185.72857013193</v>
      </c>
      <c r="AF56" s="394">
        <f>'3-time of replacement'!AD50+N56</f>
        <v>36820.488098928596</v>
      </c>
      <c r="AG56" s="396">
        <f>MAX('3-time of replacement'!AE50+P56,0)</f>
        <v>0</v>
      </c>
      <c r="AH56" s="396">
        <f>MAX('3-time of replacement'!AF50+R56,0)</f>
        <v>0</v>
      </c>
      <c r="AI56" s="396">
        <f>MAX('3-time of replacement'!AG50+J56,0)</f>
        <v>411589.71766994259</v>
      </c>
      <c r="AJ56" s="396">
        <f>'3-time of replacement'!AH50</f>
        <v>20360.835441303396</v>
      </c>
      <c r="AK56" s="396">
        <f>'3-time of replacement'!AI50</f>
        <v>19098.147972075269</v>
      </c>
      <c r="AL56" s="396">
        <f>'3-time of replacement'!AJ50</f>
        <v>3231.0192927104799</v>
      </c>
      <c r="AM56" s="396">
        <f>'3-time of replacement'!AK50</f>
        <v>413326.49855931586</v>
      </c>
      <c r="AN56" s="445">
        <f t="shared" si="15"/>
        <v>117326.41170758763</v>
      </c>
      <c r="AO56" s="445">
        <f t="shared" si="16"/>
        <v>121481.30892397693</v>
      </c>
      <c r="AP56" s="445">
        <f t="shared" si="17"/>
        <v>411589.71766994259</v>
      </c>
      <c r="AQ56" s="445">
        <f t="shared" si="18"/>
        <v>339180.57821005851</v>
      </c>
      <c r="AR56" s="445">
        <f t="shared" si="19"/>
        <v>338674.80202232377</v>
      </c>
      <c r="AS56" s="445">
        <f t="shared" si="20"/>
        <v>393416.7478628424</v>
      </c>
      <c r="AT56" s="445">
        <f t="shared" si="21"/>
        <v>450146.98665824445</v>
      </c>
      <c r="AU56" s="344">
        <f t="shared" si="7"/>
        <v>0</v>
      </c>
      <c r="AV56" s="344">
        <f t="shared" si="8"/>
        <v>-732423.58938564104</v>
      </c>
      <c r="AW56" s="344">
        <f>O56*'Appliance Stock Profile'!$B$21+P56*'Appliance Stock Profile'!$B$20+Q56*'Appliance Stock Profile'!$C$21+R56*'Appliance Stock Profile'!$C$20+J56*'Appliance Stock Profile'!$D$20</f>
        <v>-79374.459901030146</v>
      </c>
      <c r="AX56" s="344">
        <f t="shared" si="9"/>
        <v>434936.82998177886</v>
      </c>
      <c r="AY56" s="344">
        <f>GasEmissions*(AU56+AW56)+'stock-flow model'!$B25*(AV56+AX56)/1000</f>
        <v>-420.68463747545979</v>
      </c>
      <c r="AZ56" s="344">
        <f>MAX(GasEmissions*(SUM($AU$33:$AU56)+SUM($AW$33:$AW56))+'stock-flow model'!$B25*(SUM($AV$33:$AV56)+SUM($AX$33:$AX56))/1000,-'3-time of replacement'!AW50)</f>
        <v>-19972.650403184409</v>
      </c>
      <c r="BA56" s="343">
        <f>'3-time of replacement'!AW50+AZ56</f>
        <v>159555.9270998672</v>
      </c>
      <c r="BB56" s="446">
        <f>MAX(('3-time of replacement'!$Z50+'3-time of replacement'!$AG50)+SUM($J$33:$J56),0)</f>
        <v>393580.98224677966</v>
      </c>
      <c r="BC56" s="344">
        <f>'3-time of replacement'!AY50-SUM(J$33:J56)</f>
        <v>56566.004411464812</v>
      </c>
      <c r="BD56" s="344">
        <f t="shared" si="22"/>
        <v>116820.63551985285</v>
      </c>
      <c r="BE56" s="344">
        <f t="shared" si="23"/>
        <v>505.77618773475115</v>
      </c>
      <c r="BF56" s="36">
        <f t="shared" si="24"/>
        <v>-420.68463747546048</v>
      </c>
      <c r="BG56" s="36">
        <f t="shared" si="25"/>
        <v>-19972.650403184409</v>
      </c>
      <c r="BH56" s="36">
        <f t="shared" si="26"/>
        <v>0</v>
      </c>
    </row>
    <row r="57" spans="1:60" hidden="1" x14ac:dyDescent="0.3">
      <c r="A57" s="257">
        <f t="shared" si="1"/>
        <v>1</v>
      </c>
      <c r="B57" s="342">
        <v>2044</v>
      </c>
      <c r="C57" s="343">
        <f>'3-time of replacement'!AX51+SUM(J$33:J56)</f>
        <v>393557.79516199359</v>
      </c>
      <c r="D57" s="343">
        <f>MAX('2-energy assessment'!BL60-SUM(G$33:G56),0)</f>
        <v>375715.52326911449</v>
      </c>
      <c r="E57" s="344">
        <f t="shared" si="10"/>
        <v>818.10378023386397</v>
      </c>
      <c r="F57" s="344">
        <f t="shared" si="2"/>
        <v>818.10378023386397</v>
      </c>
      <c r="G57" s="344">
        <f t="shared" si="11"/>
        <v>818.10378023386397</v>
      </c>
      <c r="H57" s="443">
        <f>-$G57*MAX(TrueRenovateFurnace=TRUE,TrueRenovateAllGas=TRUE,MIN($C$14+$C$16,1))*(MAX('3-time of replacement'!V51+SUM(H$33:H56),0)/C57)</f>
        <v>-203.58156397709905</v>
      </c>
      <c r="I57" s="443">
        <f>-$G57*MAX(TrueRenovateDHW=TRUE,TrueRenovateAllGas=TRUE,MIN($C$15+$C$16,1))*(MAX('3-time of replacement'!W51+SUM(I$33:I56),0)/C57)</f>
        <v>-93.218689965530899</v>
      </c>
      <c r="J57" s="443">
        <f t="shared" si="3"/>
        <v>-818.10378023386397</v>
      </c>
      <c r="K57" s="443">
        <f>('3-time of replacement'!AZ51/('3-time of replacement'!AE51+'3-time of replacement'!X51))*L57</f>
        <v>202.801943722018</v>
      </c>
      <c r="L57" s="443">
        <f t="shared" si="12"/>
        <v>203.58156397709905</v>
      </c>
      <c r="M57" s="443">
        <f t="shared" si="12"/>
        <v>93.218689965530899</v>
      </c>
      <c r="N57" s="444">
        <v>0</v>
      </c>
      <c r="O57" s="443">
        <f t="shared" si="13"/>
        <v>-203.58156397709905</v>
      </c>
      <c r="P57" s="443">
        <f>MIN($H57*('3-time of replacement'!$AE51+SUM(P$33:P56))/('3-time of replacement'!$X51+'3-time of replacement'!$AE51+SUM(H$33:H56)),0)</f>
        <v>0</v>
      </c>
      <c r="Q57" s="443">
        <f t="shared" si="14"/>
        <v>-93.218689965530899</v>
      </c>
      <c r="R57" s="443">
        <f>MIN($I57*('3-time of replacement'!$AF51+SUM(R$33:R56))/('3-time of replacement'!$Y51+'3-time of replacement'!$AF51+SUM(I$33:I56)),0)</f>
        <v>0</v>
      </c>
      <c r="S57" s="347">
        <f>MAX($G57*'3-time of replacement'!AE51/'3-time of replacement'!$AX51+H57,0)</f>
        <v>0</v>
      </c>
      <c r="T57" s="347">
        <f>MAX($G57*'3-time of replacement'!AF51/'3-time of replacement'!$AX51+I57,0)</f>
        <v>0</v>
      </c>
      <c r="U57" s="347">
        <f t="shared" si="4"/>
        <v>0</v>
      </c>
      <c r="V57" s="347">
        <f>$G57*('3-time of replacement'!AH51-SUM(V$33:V56))/'3-time of replacement'!$AX51</f>
        <v>33.58930574145306</v>
      </c>
      <c r="W57" s="347">
        <f>$G57*('3-time of replacement'!AI51-SUM(W$33:W56))/'3-time of replacement'!$AX51</f>
        <v>31.506248021052865</v>
      </c>
      <c r="X57" s="347">
        <f>$G57*('3-time of replacement'!AJ51-SUM(X$33:X56))/'3-time of replacement'!$AX51</f>
        <v>4.6884523575630537</v>
      </c>
      <c r="Y57" s="347">
        <f t="shared" si="5"/>
        <v>818.10378023386397</v>
      </c>
      <c r="Z57" s="394">
        <f>MAX('3-time of replacement'!X51+O57,0)</f>
        <v>116857.75213258428</v>
      </c>
      <c r="AA57" s="394">
        <f>MAX('3-time of replacement'!Y51+Q57,0)</f>
        <v>120282.6110891603</v>
      </c>
      <c r="AB57" s="394">
        <f>'3-time of replacement'!Z51</f>
        <v>0</v>
      </c>
      <c r="AC57" s="394">
        <f>'3-time of replacement'!AA51+K57</f>
        <v>326772.12749689707</v>
      </c>
      <c r="AD57" s="394">
        <f>'3-time of replacement'!AB51+L57</f>
        <v>327503.12636722717</v>
      </c>
      <c r="AE57" s="394">
        <f>'3-time of replacement'!AC51+M57</f>
        <v>396753.20086103544</v>
      </c>
      <c r="AF57" s="394">
        <f>'3-time of replacement'!AD51+N57</f>
        <v>38421.378885838538</v>
      </c>
      <c r="AG57" s="396">
        <f>MAX('3-time of replacement'!AE51+P57,0)</f>
        <v>0</v>
      </c>
      <c r="AH57" s="396">
        <f>MAX('3-time of replacement'!AF51+R57,0)</f>
        <v>0</v>
      </c>
      <c r="AI57" s="396">
        <f>MAX('3-time of replacement'!AG51+J57,0)</f>
        <v>411569.32783735148</v>
      </c>
      <c r="AJ57" s="396">
        <f>'3-time of replacement'!AH51</f>
        <v>19003.446411883167</v>
      </c>
      <c r="AK57" s="396">
        <f>'3-time of replacement'!AI51</f>
        <v>17824.938107270253</v>
      </c>
      <c r="AL57" s="396">
        <f>'3-time of replacement'!AJ51</f>
        <v>2907.9173634394319</v>
      </c>
      <c r="AM57" s="396">
        <f>'3-time of replacement'!AK51</f>
        <v>413326.49855931586</v>
      </c>
      <c r="AN57" s="445">
        <f t="shared" si="15"/>
        <v>116857.75213258428</v>
      </c>
      <c r="AO57" s="445">
        <f t="shared" si="16"/>
        <v>120282.6110891603</v>
      </c>
      <c r="AP57" s="445">
        <f t="shared" si="17"/>
        <v>411569.32783735148</v>
      </c>
      <c r="AQ57" s="445">
        <f t="shared" si="18"/>
        <v>345775.57390878024</v>
      </c>
      <c r="AR57" s="445">
        <f t="shared" si="19"/>
        <v>345328.06447449746</v>
      </c>
      <c r="AS57" s="445">
        <f t="shared" si="20"/>
        <v>399661.11822447489</v>
      </c>
      <c r="AT57" s="445">
        <f t="shared" si="21"/>
        <v>451747.87744515442</v>
      </c>
      <c r="AU57" s="344">
        <f t="shared" si="7"/>
        <v>0</v>
      </c>
      <c r="AV57" s="344">
        <f t="shared" si="8"/>
        <v>-728843.10057867633</v>
      </c>
      <c r="AW57" s="344">
        <f>O57*'Appliance Stock Profile'!$B$21+P57*'Appliance Stock Profile'!$B$20+Q57*'Appliance Stock Profile'!$C$21+R57*'Appliance Stock Profile'!$C$20+J57*'Appliance Stock Profile'!$D$20</f>
        <v>-75548.262343454073</v>
      </c>
      <c r="AX57" s="344">
        <f t="shared" si="9"/>
        <v>408912.57043252874</v>
      </c>
      <c r="AY57" s="344">
        <f>GasEmissions*(AU57+AW57)+'stock-flow model'!$B26*(AV57+AX57)/1000</f>
        <v>-400.40579042030657</v>
      </c>
      <c r="AZ57" s="344">
        <f>MAX(GasEmissions*(SUM($AU$33:$AU57)+SUM($AW$33:$AW57))+'stock-flow model'!$B26*(SUM($AV$33:$AV57)+SUM($AX$33:$AX57))/1000,-'3-time of replacement'!AW51)</f>
        <v>-20373.056193604716</v>
      </c>
      <c r="BA57" s="343">
        <f>'3-time of replacement'!AW51+AZ57</f>
        <v>147052.96565372508</v>
      </c>
      <c r="BB57" s="446">
        <f>MAX(('3-time of replacement'!$Z51+'3-time of replacement'!$AG51)+SUM($J$33:$J57),0)</f>
        <v>392739.69138175971</v>
      </c>
      <c r="BC57" s="344">
        <f>'3-time of replacement'!AY51-SUM(J$33:J57)</f>
        <v>59008.186063394664</v>
      </c>
      <c r="BD57" s="344">
        <f t="shared" si="22"/>
        <v>116410.24269830147</v>
      </c>
      <c r="BE57" s="344">
        <f t="shared" si="23"/>
        <v>447.5094342828088</v>
      </c>
      <c r="BF57" s="36">
        <f t="shared" si="24"/>
        <v>-400.40579042030731</v>
      </c>
      <c r="BG57" s="36">
        <f t="shared" si="25"/>
        <v>-20373.056193604716</v>
      </c>
      <c r="BH57" s="36">
        <f t="shared" si="26"/>
        <v>0</v>
      </c>
    </row>
    <row r="58" spans="1:60" hidden="1" x14ac:dyDescent="0.3">
      <c r="A58" s="257">
        <f t="shared" si="1"/>
        <v>1</v>
      </c>
      <c r="B58" s="342">
        <v>2045</v>
      </c>
      <c r="C58" s="343">
        <f>'3-time of replacement'!AX52+SUM(J$33:J57)</f>
        <v>392717.57000482501</v>
      </c>
      <c r="D58" s="343">
        <f>MAX('2-energy assessment'!BL61-SUM(G$33:G57),0)</f>
        <v>374454.99195018579</v>
      </c>
      <c r="E58" s="344">
        <f t="shared" si="10"/>
        <v>815.35902955615472</v>
      </c>
      <c r="F58" s="344">
        <f t="shared" si="2"/>
        <v>815.35902955615472</v>
      </c>
      <c r="G58" s="344">
        <f t="shared" si="11"/>
        <v>815.35902955615472</v>
      </c>
      <c r="H58" s="443">
        <f>-$G58*MAX(TrueRenovateFurnace=TRUE,TrueRenovateAllGas=TRUE,MIN($C$14+$C$16,1))*(MAX('3-time of replacement'!V52+SUM(H$33:H57),0)/C58)</f>
        <v>-192.87864363759527</v>
      </c>
      <c r="I58" s="443">
        <f>-$G58*MAX(TrueRenovateDHW=TRUE,TrueRenovateAllGas=TRUE,MIN($C$15+$C$16,1))*(MAX('3-time of replacement'!W52+SUM(I$33:I57),0)/C58)</f>
        <v>-84.041059014871834</v>
      </c>
      <c r="J58" s="443">
        <f t="shared" si="3"/>
        <v>-815.35902955615472</v>
      </c>
      <c r="K58" s="443">
        <f>('3-time of replacement'!AZ52/('3-time of replacement'!AE52+'3-time of replacement'!X52))*L58</f>
        <v>192.22285973113637</v>
      </c>
      <c r="L58" s="443">
        <f t="shared" si="12"/>
        <v>192.87864363759527</v>
      </c>
      <c r="M58" s="443">
        <f t="shared" si="12"/>
        <v>84.041059014871834</v>
      </c>
      <c r="N58" s="444">
        <v>0</v>
      </c>
      <c r="O58" s="443">
        <f t="shared" si="13"/>
        <v>-192.87864363759527</v>
      </c>
      <c r="P58" s="443">
        <f>MIN($H58*('3-time of replacement'!$AE52+SUM(P$33:P57))/('3-time of replacement'!$X52+'3-time of replacement'!$AE52+SUM(H$33:H57)),0)</f>
        <v>0</v>
      </c>
      <c r="Q58" s="443">
        <f t="shared" si="14"/>
        <v>-84.041059014871834</v>
      </c>
      <c r="R58" s="443">
        <f>MIN($I58*('3-time of replacement'!$AF52+SUM(R$33:R57))/('3-time of replacement'!$Y52+'3-time of replacement'!$AF52+SUM(I$33:I57)),0)</f>
        <v>0</v>
      </c>
      <c r="S58" s="347">
        <f>MAX($G58*'3-time of replacement'!AE52/'3-time of replacement'!$AX52+H58,0)</f>
        <v>0</v>
      </c>
      <c r="T58" s="347">
        <f>MAX($G58*'3-time of replacement'!AF52/'3-time of replacement'!$AX52+I58,0)</f>
        <v>0</v>
      </c>
      <c r="U58" s="347">
        <f t="shared" si="4"/>
        <v>0</v>
      </c>
      <c r="V58" s="347">
        <f>$G58*('3-time of replacement'!AH52-SUM(V$33:V57))/'3-time of replacement'!$AX52</f>
        <v>30.906992894039526</v>
      </c>
      <c r="W58" s="347">
        <f>$G58*('3-time of replacement'!AI52-SUM(W$33:W57))/'3-time of replacement'!$AX52</f>
        <v>28.99028015642465</v>
      </c>
      <c r="X58" s="347">
        <f>$G58*('3-time of replacement'!AJ52-SUM(X$33:X57))/'3-time of replacement'!$AX52</f>
        <v>4.0887280290597792</v>
      </c>
      <c r="Y58" s="347">
        <f t="shared" si="5"/>
        <v>815.35902955615472</v>
      </c>
      <c r="Z58" s="394">
        <f>MAX('3-time of replacement'!X52+O58,0)</f>
        <v>116390.96508229643</v>
      </c>
      <c r="AA58" s="394">
        <f>MAX('3-time of replacement'!Y52+Q58,0)</f>
        <v>119150.95406932045</v>
      </c>
      <c r="AB58" s="394">
        <f>'3-time of replacement'!Z52</f>
        <v>0</v>
      </c>
      <c r="AC58" s="394">
        <f>'3-time of replacement'!AA52+K58</f>
        <v>334409.01839201071</v>
      </c>
      <c r="AD58" s="394">
        <f>'3-time of replacement'!AB52+L58</f>
        <v>335113.23229616438</v>
      </c>
      <c r="AE58" s="394">
        <f>'3-time of replacement'!AC52+M58</f>
        <v>402907.99505887443</v>
      </c>
      <c r="AF58" s="394">
        <f>'3-time of replacement'!AD52+N58</f>
        <v>40022.26967274848</v>
      </c>
      <c r="AG58" s="396">
        <f>MAX('3-time of replacement'!AE52+P58,0)</f>
        <v>0</v>
      </c>
      <c r="AH58" s="396">
        <f>MAX('3-time of replacement'!AF52+R58,0)</f>
        <v>0</v>
      </c>
      <c r="AI58" s="396">
        <f>MAX('3-time of replacement'!AG52+J58,0)</f>
        <v>411549.95121109451</v>
      </c>
      <c r="AJ58" s="396">
        <f>'3-time of replacement'!AH52</f>
        <v>17736.549984424288</v>
      </c>
      <c r="AK58" s="396">
        <f>'3-time of replacement'!AI52</f>
        <v>16636.608900118896</v>
      </c>
      <c r="AL58" s="396">
        <f>'3-time of replacement'!AJ52</f>
        <v>2617.1256270954909</v>
      </c>
      <c r="AM58" s="396">
        <f>'3-time of replacement'!AK52</f>
        <v>413326.49855931586</v>
      </c>
      <c r="AN58" s="445">
        <f t="shared" si="15"/>
        <v>116390.96508229643</v>
      </c>
      <c r="AO58" s="445">
        <f t="shared" si="16"/>
        <v>119150.95406932045</v>
      </c>
      <c r="AP58" s="445">
        <f t="shared" si="17"/>
        <v>411549.95121109451</v>
      </c>
      <c r="AQ58" s="445">
        <f t="shared" si="18"/>
        <v>352145.56837643497</v>
      </c>
      <c r="AR58" s="445">
        <f t="shared" si="19"/>
        <v>351749.84119628329</v>
      </c>
      <c r="AS58" s="445">
        <f t="shared" si="20"/>
        <v>405525.12068596995</v>
      </c>
      <c r="AT58" s="445">
        <f t="shared" si="21"/>
        <v>453348.76823206432</v>
      </c>
      <c r="AU58" s="344">
        <f t="shared" si="7"/>
        <v>0</v>
      </c>
      <c r="AV58" s="344">
        <f t="shared" si="8"/>
        <v>-725393.13119434856</v>
      </c>
      <c r="AW58" s="344">
        <f>O58*'Appliance Stock Profile'!$B$21+P58*'Appliance Stock Profile'!$B$20+Q58*'Appliance Stock Profile'!$C$21+R58*'Appliance Stock Profile'!$C$20+J58*'Appliance Stock Profile'!$D$20</f>
        <v>-71960.183087147569</v>
      </c>
      <c r="AX58" s="344">
        <f t="shared" si="9"/>
        <v>384393.27761628362</v>
      </c>
      <c r="AY58" s="344">
        <f>GasEmissions*(AU58+AW58)+'stock-flow model'!$B27*(AV58+AX58)/1000</f>
        <v>-381.38897036188212</v>
      </c>
      <c r="AZ58" s="344">
        <f>MAX(GasEmissions*(SUM($AU$33:$AU58)+SUM($AW$33:$AW58))+'stock-flow model'!$B27*(SUM($AV$33:$AV58)+SUM($AX$33:$AX58))/1000,-'3-time of replacement'!AW52)</f>
        <v>-20754.4451639666</v>
      </c>
      <c r="BA58" s="343">
        <f>'3-time of replacement'!AW52+AZ58</f>
        <v>135353.72427436736</v>
      </c>
      <c r="BB58" s="446">
        <f>MAX(('3-time of replacement'!$Z52+'3-time of replacement'!$AG52)+SUM($J$33:$J58),0)</f>
        <v>391902.21097526886</v>
      </c>
      <c r="BC58" s="344">
        <f>'3-time of replacement'!AY52-SUM(J$33:J58)</f>
        <v>61446.557256795502</v>
      </c>
      <c r="BD58" s="344">
        <f t="shared" si="22"/>
        <v>115995.23790214468</v>
      </c>
      <c r="BE58" s="344">
        <f t="shared" si="23"/>
        <v>395.72718015171995</v>
      </c>
      <c r="BF58" s="36">
        <f t="shared" si="24"/>
        <v>-381.38897036188428</v>
      </c>
      <c r="BG58" s="36">
        <f t="shared" si="25"/>
        <v>-20754.4451639666</v>
      </c>
      <c r="BH58" s="36">
        <f t="shared" si="26"/>
        <v>0</v>
      </c>
    </row>
    <row r="59" spans="1:60" hidden="1" x14ac:dyDescent="0.3">
      <c r="B59" s="272"/>
      <c r="C59" s="272" t="s">
        <v>165</v>
      </c>
      <c r="D59" s="272"/>
      <c r="E59" s="272"/>
      <c r="F59" s="272"/>
      <c r="G59" s="272"/>
      <c r="H59" s="344"/>
      <c r="I59" s="272"/>
      <c r="J59" s="272"/>
      <c r="K59" s="272"/>
      <c r="L59" s="272"/>
      <c r="M59" s="272"/>
      <c r="N59" s="272"/>
      <c r="O59" s="272"/>
      <c r="P59" s="344"/>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row>
    <row r="60" spans="1:60" hidden="1" x14ac:dyDescent="0.3">
      <c r="F60" s="351">
        <f>SUM(F33:F59)</f>
        <v>20463.099265381803</v>
      </c>
      <c r="G60" s="351">
        <f t="shared" ref="G60:Y60" si="27">SUM(G33:G59)</f>
        <v>20463.099265381803</v>
      </c>
      <c r="H60" s="351">
        <f t="shared" si="27"/>
        <v>-9084.7108274340244</v>
      </c>
      <c r="I60" s="351">
        <f t="shared" si="27"/>
        <v>-7513.3645751661425</v>
      </c>
      <c r="J60" s="351">
        <f t="shared" si="27"/>
        <v>-20463.099265381803</v>
      </c>
      <c r="K60" s="351">
        <f t="shared" si="27"/>
        <v>8977.8554861174598</v>
      </c>
      <c r="L60" s="351">
        <f t="shared" si="27"/>
        <v>9084.7108274340244</v>
      </c>
      <c r="M60" s="351">
        <f t="shared" si="27"/>
        <v>7513.3645751661425</v>
      </c>
      <c r="N60" s="351">
        <f t="shared" si="27"/>
        <v>0</v>
      </c>
      <c r="O60" s="351">
        <f t="shared" si="27"/>
        <v>-4906.2859641095101</v>
      </c>
      <c r="P60" s="351">
        <f t="shared" si="27"/>
        <v>-4178.4248633245161</v>
      </c>
      <c r="Q60" s="351">
        <f t="shared" si="27"/>
        <v>-5085.2878336955082</v>
      </c>
      <c r="R60" s="351">
        <f t="shared" si="27"/>
        <v>-2428.0767414706324</v>
      </c>
      <c r="S60" s="351">
        <f t="shared" si="27"/>
        <v>0</v>
      </c>
      <c r="T60" s="351">
        <f t="shared" si="27"/>
        <v>0</v>
      </c>
      <c r="U60" s="351">
        <f t="shared" si="27"/>
        <v>0</v>
      </c>
      <c r="V60" s="351">
        <f t="shared" si="27"/>
        <v>2136.3408047360581</v>
      </c>
      <c r="W60" s="351">
        <f t="shared" si="27"/>
        <v>2003.8545532795576</v>
      </c>
      <c r="X60" s="351">
        <f t="shared" si="27"/>
        <v>553.3527860796961</v>
      </c>
      <c r="Y60" s="351">
        <f t="shared" si="27"/>
        <v>20463.099265381803</v>
      </c>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1">
        <f>SUM(AU33:AU59)</f>
        <v>0</v>
      </c>
      <c r="AV60" s="351">
        <f>SUM(AV33:AV59)</f>
        <v>-18763751.498519376</v>
      </c>
      <c r="AW60" s="351">
        <f>SUM(AW33:AW59)</f>
        <v>-3915933.0498050186</v>
      </c>
      <c r="AX60" s="351">
        <f>SUM(AX33:AX59)</f>
        <v>20613867.09019132</v>
      </c>
      <c r="BB60" s="354"/>
      <c r="BC60" s="354"/>
    </row>
    <row r="61" spans="1:60" hidden="1" x14ac:dyDescent="0.3">
      <c r="Z61" s="354"/>
      <c r="AA61" s="354"/>
      <c r="AB61" s="354"/>
      <c r="AC61" s="354"/>
      <c r="AD61" s="354"/>
      <c r="AE61" s="354"/>
      <c r="AF61" s="354"/>
      <c r="AG61" s="354"/>
      <c r="AH61" s="354"/>
      <c r="AI61" s="354"/>
      <c r="AJ61" s="354"/>
      <c r="AK61" s="354"/>
      <c r="AL61" s="354"/>
    </row>
    <row r="62" spans="1:60" hidden="1" x14ac:dyDescent="0.3">
      <c r="O62" s="351">
        <v>-3653.233659888806</v>
      </c>
      <c r="P62" s="351">
        <v>-3494.7039826292312</v>
      </c>
      <c r="Q62" s="351">
        <v>-3646.0745768579318</v>
      </c>
      <c r="R62" s="351">
        <v>-2294.7929895140678</v>
      </c>
    </row>
    <row r="63" spans="1:60" ht="13.8" hidden="1" customHeight="1" x14ac:dyDescent="0.3">
      <c r="AU63" s="351">
        <v>0</v>
      </c>
      <c r="AV63" s="351">
        <v>-10546487.242727786</v>
      </c>
      <c r="AW63" s="351">
        <v>-2773721.1538725821</v>
      </c>
      <c r="AX63" s="351">
        <v>8595402.9514676668</v>
      </c>
    </row>
    <row r="64" spans="1:60" hidden="1" x14ac:dyDescent="0.3"/>
    <row r="65" hidden="1" x14ac:dyDescent="0.3"/>
  </sheetData>
  <mergeCells count="15">
    <mergeCell ref="B1:C1"/>
    <mergeCell ref="B2:C2"/>
    <mergeCell ref="Z31:AF31"/>
    <mergeCell ref="AG31:AM31"/>
    <mergeCell ref="B8:C8"/>
    <mergeCell ref="B13:C13"/>
    <mergeCell ref="B3:E3"/>
    <mergeCell ref="E5:G5"/>
    <mergeCell ref="E6:F6"/>
    <mergeCell ref="E7:F7"/>
    <mergeCell ref="E8:F8"/>
    <mergeCell ref="E9:F9"/>
    <mergeCell ref="E10:F10"/>
    <mergeCell ref="H31:R31"/>
    <mergeCell ref="S31:Y31"/>
  </mergeCells>
  <dataValidations count="2">
    <dataValidation allowBlank="1" showInputMessage="1" showErrorMessage="1" prompt="Only applicable if electrification is not required." sqref="C14:C16" xr:uid="{383F1B49-23DD-4D2C-9067-F8A298FE6132}"/>
    <dataValidation type="list" allowBlank="1" showInputMessage="1" showErrorMessage="1" sqref="G6" xr:uid="{90E62860-C0FD-4EC2-BA1D-94D2564D4867}">
      <formula1>"Project Cost ($), Square Footage"</formula1>
    </dataValidation>
  </dataValidations>
  <hyperlinks>
    <hyperlink ref="B2:C2" location="'Policy Impact Dashboard'!A1" display="Back to Policy Impact Dashboard" xr:uid="{63C79F3B-750B-422F-95F4-BE351E093229}"/>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ltText="">
                <anchor moveWithCells="1">
                  <from>
                    <xdr:col>2</xdr:col>
                    <xdr:colOff>472440</xdr:colOff>
                    <xdr:row>9</xdr:row>
                    <xdr:rowOff>15240</xdr:rowOff>
                  </from>
                  <to>
                    <xdr:col>2</xdr:col>
                    <xdr:colOff>762000</xdr:colOff>
                    <xdr:row>10</xdr:row>
                    <xdr:rowOff>0</xdr:rowOff>
                  </to>
                </anchor>
              </controlPr>
            </control>
          </mc:Choice>
        </mc:AlternateContent>
        <mc:AlternateContent xmlns:mc="http://schemas.openxmlformats.org/markup-compatibility/2006">
          <mc:Choice Requires="x14">
            <control shapeId="9221" r:id="rId5" name="Check Box 5">
              <controlPr defaultSize="0" autoFill="0" autoLine="0" autoPict="0" altText="">
                <anchor moveWithCells="1">
                  <from>
                    <xdr:col>2</xdr:col>
                    <xdr:colOff>472440</xdr:colOff>
                    <xdr:row>10</xdr:row>
                    <xdr:rowOff>15240</xdr:rowOff>
                  </from>
                  <to>
                    <xdr:col>2</xdr:col>
                    <xdr:colOff>762000</xdr:colOff>
                    <xdr:row>10</xdr:row>
                    <xdr:rowOff>182880</xdr:rowOff>
                  </to>
                </anchor>
              </controlPr>
            </control>
          </mc:Choice>
        </mc:AlternateContent>
        <mc:AlternateContent xmlns:mc="http://schemas.openxmlformats.org/markup-compatibility/2006">
          <mc:Choice Requires="x14">
            <control shapeId="9222" r:id="rId6" name="Check Box 6">
              <controlPr defaultSize="0" autoFill="0" autoLine="0" autoPict="0" altText="">
                <anchor moveWithCells="1">
                  <from>
                    <xdr:col>2</xdr:col>
                    <xdr:colOff>472440</xdr:colOff>
                    <xdr:row>11</xdr:row>
                    <xdr:rowOff>15240</xdr:rowOff>
                  </from>
                  <to>
                    <xdr:col>2</xdr:col>
                    <xdr:colOff>762000</xdr:colOff>
                    <xdr:row>12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A5F2-D498-4D08-A647-A713DFE33BF6}">
  <sheetPr codeName="Sheet12"/>
  <dimension ref="A1:AS61"/>
  <sheetViews>
    <sheetView zoomScale="90" zoomScaleNormal="90" workbookViewId="0">
      <selection activeCell="A31" sqref="A31:XFD61"/>
    </sheetView>
  </sheetViews>
  <sheetFormatPr defaultRowHeight="14.4" x14ac:dyDescent="0.3"/>
  <cols>
    <col min="1" max="1" width="4.5546875" style="257" customWidth="1"/>
    <col min="2" max="2" width="69.44140625" style="257" customWidth="1"/>
    <col min="3" max="3" width="23.21875" style="257" bestFit="1" customWidth="1"/>
    <col min="4" max="4" width="13.33203125" style="257" bestFit="1" customWidth="1"/>
    <col min="5" max="5" width="14" style="257" customWidth="1"/>
    <col min="6" max="6" width="11.33203125" style="257" bestFit="1" customWidth="1"/>
    <col min="7" max="7" width="10.33203125" style="257" bestFit="1" customWidth="1"/>
    <col min="8" max="8" width="13.88671875" style="257" bestFit="1" customWidth="1"/>
    <col min="9" max="9" width="13.109375" style="257" bestFit="1" customWidth="1"/>
    <col min="10" max="12" width="11" style="257" bestFit="1" customWidth="1"/>
    <col min="13" max="14" width="8.88671875" style="257" bestFit="1" customWidth="1"/>
    <col min="15" max="18" width="8.88671875" style="257" customWidth="1"/>
    <col min="19" max="20" width="8.6640625" style="257" bestFit="1" customWidth="1"/>
    <col min="21" max="22" width="8.77734375" style="257" bestFit="1" customWidth="1"/>
    <col min="23" max="23" width="7.77734375" style="257" bestFit="1" customWidth="1"/>
    <col min="24" max="24" width="7.6640625" style="257" bestFit="1" customWidth="1"/>
    <col min="25" max="25" width="11.33203125" style="257" bestFit="1" customWidth="1"/>
    <col min="26" max="27" width="8.33203125" style="257" bestFit="1" customWidth="1"/>
    <col min="28" max="28" width="9.44140625" style="257" bestFit="1" customWidth="1"/>
    <col min="29" max="29" width="8.77734375" style="257" bestFit="1" customWidth="1"/>
    <col min="30" max="30" width="8.33203125" style="257" bestFit="1" customWidth="1"/>
    <col min="31" max="31" width="9.109375" style="257" bestFit="1" customWidth="1"/>
    <col min="32" max="32" width="9.44140625" style="257" bestFit="1" customWidth="1"/>
    <col min="33" max="34" width="12.77734375" style="257" bestFit="1" customWidth="1"/>
    <col min="35" max="35" width="10.88671875" style="257" bestFit="1" customWidth="1"/>
    <col min="36" max="36" width="10.109375" style="257" bestFit="1" customWidth="1"/>
    <col min="37" max="37" width="11.109375" style="257" bestFit="1" customWidth="1"/>
    <col min="38" max="38" width="10.88671875" style="257" bestFit="1" customWidth="1"/>
    <col min="39" max="39" width="9.88671875" style="257" bestFit="1" customWidth="1"/>
    <col min="40" max="40" width="9.44140625" style="453" bestFit="1" customWidth="1"/>
    <col min="41" max="41" width="10" style="257" bestFit="1" customWidth="1"/>
    <col min="42" max="42" width="8.33203125" style="257" bestFit="1" customWidth="1"/>
    <col min="43" max="43" width="9.33203125" style="257" bestFit="1" customWidth="1"/>
    <col min="44" max="44" width="9.44140625" style="257" bestFit="1" customWidth="1"/>
    <col min="45" max="45" width="8.5546875" style="257" bestFit="1" customWidth="1"/>
    <col min="46" max="16384" width="8.88671875" style="257"/>
  </cols>
  <sheetData>
    <row r="1" spans="1:6" ht="18" x14ac:dyDescent="0.35">
      <c r="B1" s="584" t="str">
        <f>CONCATENATE("Performance Standards Inputs for ",'Policy Impact Dashboard'!$B$5,", ",'Policy Impact Dashboard'!$B$4," County")</f>
        <v>Performance Standards Inputs for z-All Alameda, Alameda County</v>
      </c>
      <c r="C1" s="584"/>
      <c r="D1" s="261"/>
      <c r="E1" s="256"/>
      <c r="F1" s="255"/>
    </row>
    <row r="2" spans="1:6" ht="25.2" customHeight="1" x14ac:dyDescent="0.3">
      <c r="B2" s="585" t="s">
        <v>134</v>
      </c>
      <c r="C2" s="585"/>
      <c r="F2" s="255"/>
    </row>
    <row r="3" spans="1:6" ht="49.2" customHeight="1" x14ac:dyDescent="0.3">
      <c r="A3" s="261"/>
      <c r="B3" s="595" t="s">
        <v>554</v>
      </c>
      <c r="C3" s="596"/>
      <c r="F3" s="255"/>
    </row>
    <row r="4" spans="1:6" ht="7.8" customHeight="1" thickBot="1" x14ac:dyDescent="0.35">
      <c r="A4" s="261"/>
      <c r="B4" s="454"/>
      <c r="C4" s="454"/>
      <c r="F4" s="255"/>
    </row>
    <row r="5" spans="1:6" x14ac:dyDescent="0.3">
      <c r="A5" s="258"/>
      <c r="B5" s="295" t="s">
        <v>249</v>
      </c>
      <c r="C5" s="355" t="s">
        <v>226</v>
      </c>
      <c r="D5" s="455"/>
    </row>
    <row r="6" spans="1:6" x14ac:dyDescent="0.3">
      <c r="A6" s="258"/>
      <c r="B6" s="298" t="s">
        <v>172</v>
      </c>
      <c r="C6" s="356">
        <v>400</v>
      </c>
    </row>
    <row r="7" spans="1:6" x14ac:dyDescent="0.3">
      <c r="A7" s="258"/>
      <c r="B7" s="298" t="s">
        <v>654</v>
      </c>
      <c r="C7" s="476">
        <v>10</v>
      </c>
    </row>
    <row r="8" spans="1:6" x14ac:dyDescent="0.3">
      <c r="A8" s="258"/>
      <c r="B8" s="298" t="s">
        <v>655</v>
      </c>
      <c r="C8" s="377">
        <f>$C$7*(1-TrueCodeCompliance)/BaseCode+TrueCodeCompliance*(($C$7-MAX(StartCodeCompliance-StartBldgPerformance,0)*BaseCode)/ComplyPerformance)+MAX(StartCodeCompliance-StartBldgPerformance,0)</f>
        <v>11.111111111111111</v>
      </c>
    </row>
    <row r="9" spans="1:6" ht="15" thickBot="1" x14ac:dyDescent="0.35">
      <c r="A9" s="258"/>
      <c r="B9" s="370" t="s">
        <v>653</v>
      </c>
      <c r="C9" s="388">
        <f>E34/C7</f>
        <v>12827.259115502487</v>
      </c>
    </row>
    <row r="10" spans="1:6" ht="15" thickBot="1" x14ac:dyDescent="0.35">
      <c r="B10" s="272"/>
      <c r="C10" s="272"/>
    </row>
    <row r="11" spans="1:6" x14ac:dyDescent="0.3">
      <c r="A11" s="261"/>
      <c r="B11" s="611" t="s">
        <v>446</v>
      </c>
      <c r="C11" s="612"/>
    </row>
    <row r="12" spans="1:6" x14ac:dyDescent="0.3">
      <c r="A12" s="261"/>
      <c r="B12" s="301" t="s">
        <v>138</v>
      </c>
      <c r="C12" s="360">
        <v>0.15</v>
      </c>
      <c r="D12" s="456"/>
    </row>
    <row r="13" spans="1:6" x14ac:dyDescent="0.3">
      <c r="A13" s="261"/>
      <c r="B13" s="262" t="s">
        <v>448</v>
      </c>
      <c r="C13" s="451"/>
    </row>
    <row r="14" spans="1:6" x14ac:dyDescent="0.3">
      <c r="A14" s="261"/>
      <c r="B14" s="262" t="s">
        <v>517</v>
      </c>
      <c r="C14" s="451"/>
    </row>
    <row r="15" spans="1:6" x14ac:dyDescent="0.3">
      <c r="A15" s="261"/>
      <c r="B15" s="262" t="s">
        <v>449</v>
      </c>
      <c r="C15" s="451"/>
    </row>
    <row r="16" spans="1:6" x14ac:dyDescent="0.3">
      <c r="A16" s="261"/>
      <c r="B16" s="376"/>
      <c r="C16" s="457"/>
    </row>
    <row r="17" spans="1:41" x14ac:dyDescent="0.3">
      <c r="A17" s="261"/>
      <c r="B17" s="458" t="s">
        <v>250</v>
      </c>
      <c r="C17" s="459" t="s">
        <v>59</v>
      </c>
    </row>
    <row r="18" spans="1:41" x14ac:dyDescent="0.3">
      <c r="A18" s="261"/>
      <c r="B18" s="374" t="s">
        <v>145</v>
      </c>
      <c r="C18" s="460">
        <f>OccupiedUnits*('5-performance standards'!C5="Date Certain-All Homes")+Rentals*('5-performance standards'!C5="Date Certain-Rentals Only")</f>
        <v>128272.59115502487</v>
      </c>
    </row>
    <row r="19" spans="1:41" x14ac:dyDescent="0.3">
      <c r="A19" s="261"/>
      <c r="B19" s="376" t="s">
        <v>175</v>
      </c>
      <c r="C19" s="377">
        <f>IFERROR(AVERAGEIF(F34:F59,"&gt;0",F34:F59),0)</f>
        <v>12827.259115502487</v>
      </c>
    </row>
    <row r="20" spans="1:41" ht="15" thickBot="1" x14ac:dyDescent="0.35">
      <c r="A20" s="261"/>
      <c r="B20" s="376" t="s">
        <v>176</v>
      </c>
      <c r="C20" s="378">
        <f>C19*$C6</f>
        <v>5130903.646200995</v>
      </c>
      <c r="D20" s="331"/>
      <c r="E20" s="331"/>
    </row>
    <row r="21" spans="1:41" ht="28.8" x14ac:dyDescent="0.3">
      <c r="A21" s="261"/>
      <c r="B21" s="533" t="s">
        <v>177</v>
      </c>
      <c r="C21" s="534"/>
      <c r="D21" s="535" t="s">
        <v>454</v>
      </c>
      <c r="E21" s="536" t="s">
        <v>455</v>
      </c>
    </row>
    <row r="22" spans="1:41" x14ac:dyDescent="0.3">
      <c r="A22" s="261"/>
      <c r="B22" s="321" t="s">
        <v>178</v>
      </c>
      <c r="C22" s="537">
        <f t="shared" ref="C22:E23" si="0">1000*C26/AVERAGEIF($D$29:$D$45,"&gt;0",$D$29:$D$45)</f>
        <v>25.701840631371869</v>
      </c>
      <c r="D22" s="491">
        <f t="shared" si="0"/>
        <v>25.701840631371869</v>
      </c>
      <c r="E22" s="538">
        <f t="shared" si="0"/>
        <v>0</v>
      </c>
    </row>
    <row r="23" spans="1:41" x14ac:dyDescent="0.3">
      <c r="A23" s="261"/>
      <c r="B23" s="321" t="s">
        <v>179</v>
      </c>
      <c r="C23" s="537">
        <f t="shared" si="0"/>
        <v>0.77315954255543329</v>
      </c>
      <c r="D23" s="491">
        <f t="shared" si="0"/>
        <v>0.77315954255543329</v>
      </c>
      <c r="E23" s="538">
        <f t="shared" si="0"/>
        <v>0</v>
      </c>
    </row>
    <row r="24" spans="1:41" x14ac:dyDescent="0.3">
      <c r="A24" s="261"/>
      <c r="B24" s="324" t="s">
        <v>180</v>
      </c>
      <c r="C24" s="537">
        <f>C28/AVERAGEIF($D$29:$D$45,"&gt;0",$D$29:$D$45)</f>
        <v>4.5888408953479098E-3</v>
      </c>
      <c r="D24" s="491">
        <f>D28/AVERAGEIF($D$29:$D$45,"&gt;0",$D$29:$D$45)</f>
        <v>4.5888408953479098E-3</v>
      </c>
      <c r="E24" s="538">
        <f>E28/AVERAGEIF($D$29:$D$45,"&gt;0",$D$29:$D$45)</f>
        <v>0</v>
      </c>
    </row>
    <row r="25" spans="1:41" x14ac:dyDescent="0.3">
      <c r="A25" s="261"/>
      <c r="B25" s="317" t="s">
        <v>152</v>
      </c>
      <c r="C25" s="534"/>
      <c r="D25" s="534"/>
      <c r="E25" s="539"/>
    </row>
    <row r="26" spans="1:41" x14ac:dyDescent="0.3">
      <c r="A26" s="261"/>
      <c r="B26" s="321" t="s">
        <v>153</v>
      </c>
      <c r="C26" s="314">
        <f>D26+E26</f>
        <v>10384.698806351342</v>
      </c>
      <c r="D26" s="314">
        <f>IFERROR(-SUMIF($G$34:$G$59,"&gt;0",$AH$34:$AH$59)/COUNTIF($G$34:$G$59,"&gt;0")/1000,0)</f>
        <v>10384.698806351342</v>
      </c>
      <c r="E26" s="327">
        <f>IFERROR(-SUMIF($G$34:$G$59,"&gt;0",$AK$34:$AK$59)/COUNTIF($G$34:$G$59,"&gt;0")/1000,0)</f>
        <v>0</v>
      </c>
    </row>
    <row r="27" spans="1:41" x14ac:dyDescent="0.3">
      <c r="A27" s="261"/>
      <c r="B27" s="321" t="s">
        <v>154</v>
      </c>
      <c r="C27" s="314">
        <f t="shared" ref="C27" si="1">D27+E27</f>
        <v>312.3912055113384</v>
      </c>
      <c r="D27" s="314">
        <f>IFERROR(-SUMIF($G$34:$G$59,"&gt;0",$AG$34:$AG$59)/COUNTIF($G$34:$G$59,"&gt;0")/1000,0)</f>
        <v>312.3912055113384</v>
      </c>
      <c r="E27" s="327">
        <f>IFERROR(-SUMIF($G$34:$G$59,"&gt;0",$AJ$34:$AJ$59)/COUNTIF($G$34:$G$59,"&gt;0")/1000,0)</f>
        <v>0</v>
      </c>
    </row>
    <row r="28" spans="1:41" ht="15" thickBot="1" x14ac:dyDescent="0.35">
      <c r="A28" s="261"/>
      <c r="B28" s="328" t="s">
        <v>155</v>
      </c>
      <c r="C28" s="329">
        <f>IFERROR(-SUMIF($G$34:$G$59,"&gt;0",$AL$34:$AL$59)/COUNTIF($G$34:$G$59,"&gt;0"),0)</f>
        <v>1854.097971111421</v>
      </c>
      <c r="D28" s="329">
        <f>IFERROR(-SUMIF($G$34:$G$59,"&gt;0",$AI$34:$AI$59)/COUNTIF($G$34:$G$59,"&gt;0"),0)</f>
        <v>1854.097971111421</v>
      </c>
      <c r="E28" s="330">
        <f>C28-D28</f>
        <v>0</v>
      </c>
    </row>
    <row r="29" spans="1:41" x14ac:dyDescent="0.3">
      <c r="B29" s="461"/>
      <c r="C29" s="462"/>
      <c r="D29" s="463"/>
      <c r="E29" s="463"/>
    </row>
    <row r="30" spans="1:41" x14ac:dyDescent="0.3">
      <c r="B30" s="464"/>
      <c r="C30" s="465"/>
      <c r="D30" s="463"/>
      <c r="E30" s="463"/>
    </row>
    <row r="31" spans="1:41" hidden="1" x14ac:dyDescent="0.3">
      <c r="B31" s="464"/>
      <c r="C31" s="465"/>
      <c r="D31" s="463"/>
      <c r="E31" s="463"/>
    </row>
    <row r="32" spans="1:41" hidden="1" x14ac:dyDescent="0.3">
      <c r="H32" s="622" t="s">
        <v>535</v>
      </c>
      <c r="I32" s="623"/>
      <c r="J32" s="623"/>
      <c r="K32" s="623"/>
      <c r="L32" s="623"/>
      <c r="M32" s="623"/>
      <c r="N32" s="623"/>
      <c r="O32" s="623"/>
      <c r="P32" s="623"/>
      <c r="Q32" s="623"/>
      <c r="R32" s="624"/>
      <c r="S32" s="588" t="s">
        <v>536</v>
      </c>
      <c r="T32" s="589"/>
      <c r="U32" s="589"/>
      <c r="V32" s="589"/>
      <c r="W32" s="589"/>
      <c r="X32" s="589"/>
      <c r="Y32" s="590"/>
      <c r="Z32" s="625" t="s">
        <v>109</v>
      </c>
      <c r="AA32" s="626"/>
      <c r="AB32" s="626"/>
      <c r="AC32" s="626"/>
      <c r="AD32" s="626"/>
      <c r="AE32" s="626"/>
      <c r="AF32" s="627"/>
      <c r="AG32" s="466"/>
      <c r="AH32" s="466"/>
      <c r="AI32" s="466"/>
      <c r="AJ32" s="466"/>
      <c r="AK32" s="466"/>
      <c r="AL32" s="466"/>
      <c r="AM32" s="467"/>
      <c r="AN32" s="468"/>
      <c r="AO32" s="467"/>
    </row>
    <row r="33" spans="2:45" ht="86.4" hidden="1" x14ac:dyDescent="0.3">
      <c r="B33" s="469" t="s">
        <v>110</v>
      </c>
      <c r="C33" s="469" t="s">
        <v>121</v>
      </c>
      <c r="D33" s="469" t="s">
        <v>444</v>
      </c>
      <c r="E33" s="469" t="s">
        <v>156</v>
      </c>
      <c r="F33" s="470" t="s">
        <v>157</v>
      </c>
      <c r="G33" s="470" t="s">
        <v>158</v>
      </c>
      <c r="H33" s="469" t="s">
        <v>112</v>
      </c>
      <c r="I33" s="469" t="s">
        <v>113</v>
      </c>
      <c r="J33" s="469" t="s">
        <v>114</v>
      </c>
      <c r="K33" s="469" t="s">
        <v>115</v>
      </c>
      <c r="L33" s="469" t="s">
        <v>116</v>
      </c>
      <c r="M33" s="469" t="s">
        <v>117</v>
      </c>
      <c r="N33" s="469" t="s">
        <v>118</v>
      </c>
      <c r="O33" s="336" t="s">
        <v>538</v>
      </c>
      <c r="P33" s="336" t="s">
        <v>539</v>
      </c>
      <c r="Q33" s="336" t="s">
        <v>540</v>
      </c>
      <c r="R33" s="336" t="s">
        <v>541</v>
      </c>
      <c r="S33" s="339" t="s">
        <v>470</v>
      </c>
      <c r="T33" s="339" t="s">
        <v>471</v>
      </c>
      <c r="U33" s="339" t="s">
        <v>472</v>
      </c>
      <c r="V33" s="339" t="s">
        <v>469</v>
      </c>
      <c r="W33" s="339" t="s">
        <v>473</v>
      </c>
      <c r="X33" s="339" t="s">
        <v>474</v>
      </c>
      <c r="Y33" s="339" t="s">
        <v>475</v>
      </c>
      <c r="Z33" s="471" t="s">
        <v>88</v>
      </c>
      <c r="AA33" s="471" t="s">
        <v>89</v>
      </c>
      <c r="AB33" s="471" t="s">
        <v>90</v>
      </c>
      <c r="AC33" s="471" t="s">
        <v>91</v>
      </c>
      <c r="AD33" s="471" t="s">
        <v>92</v>
      </c>
      <c r="AE33" s="471" t="s">
        <v>93</v>
      </c>
      <c r="AF33" s="471" t="s">
        <v>94</v>
      </c>
      <c r="AG33" s="469" t="s">
        <v>159</v>
      </c>
      <c r="AH33" s="469" t="s">
        <v>160</v>
      </c>
      <c r="AI33" s="469" t="s">
        <v>673</v>
      </c>
      <c r="AJ33" s="469" t="s">
        <v>161</v>
      </c>
      <c r="AK33" s="469" t="s">
        <v>162</v>
      </c>
      <c r="AL33" s="469" t="s">
        <v>119</v>
      </c>
      <c r="AM33" s="469" t="s">
        <v>120</v>
      </c>
      <c r="AN33" s="470" t="s">
        <v>122</v>
      </c>
      <c r="AO33" s="469" t="s">
        <v>121</v>
      </c>
      <c r="AP33" s="470" t="s">
        <v>163</v>
      </c>
      <c r="AQ33" s="470" t="s">
        <v>164</v>
      </c>
      <c r="AR33" s="470" t="s">
        <v>252</v>
      </c>
      <c r="AS33" s="470" t="s">
        <v>253</v>
      </c>
    </row>
    <row r="34" spans="2:45" hidden="1" x14ac:dyDescent="0.3">
      <c r="B34" s="257">
        <v>2020</v>
      </c>
      <c r="C34" s="472">
        <f>'4-time of renovation'!BB33</f>
        <v>413326.49855931586</v>
      </c>
      <c r="D34" s="472">
        <f>'4-time of renovation'!D33-'4-time of renovation'!G33</f>
        <v>413326.49855931586</v>
      </c>
      <c r="E34" s="354">
        <f>MAX(D34*(($C$5="Date Certain-Rentals Only")*RentalRate+($C$5="Date Certain-All Homes")),0)</f>
        <v>128272.59115502487</v>
      </c>
      <c r="F34" s="529">
        <f>MIN($C$9*(TruePerformance)*($B34&gt;=StartBldgPerformance)*($B34&lt;(StartBldgPerformance+$C$8)),E34)</f>
        <v>0</v>
      </c>
      <c r="G34" s="529">
        <f t="shared" ref="G34:G59" si="2">MIN((BaseCode+($B34&gt;=StartCodeCompliance)*TrueCodeCompliance*(ComplyCode-BaseCode))*F34,E34)</f>
        <v>0</v>
      </c>
      <c r="H34" s="354">
        <f>-MAX(controls!$B$26=TRUE, controls!$B$28=TRUE)*$G34*'4-time of renovation'!AN33/'4-time of renovation'!$BB33</f>
        <v>0</v>
      </c>
      <c r="I34" s="354">
        <f>-MAX(controls!$B$27=TRUE, controls!$B$28=TRUE)*$G34*'4-time of renovation'!AO33/'4-time of renovation'!$BB33</f>
        <v>0</v>
      </c>
      <c r="J34" s="354">
        <f>-controls!$B$28*$G34</f>
        <v>0</v>
      </c>
      <c r="K34" s="354">
        <f>-H34*('4-time of renovation'!BD33/('4-time of renovation'!BD33+'4-time of renovation'!BE33))</f>
        <v>0</v>
      </c>
      <c r="L34" s="354">
        <f>-H34</f>
        <v>0</v>
      </c>
      <c r="M34" s="354">
        <f>-I34</f>
        <v>0</v>
      </c>
      <c r="N34" s="354">
        <v>0</v>
      </c>
      <c r="O34" s="344">
        <f>H34-P34</f>
        <v>0</v>
      </c>
      <c r="P34" s="344">
        <f>MIN(IFERROR($H34*'4-time of renovation'!$AG33/('4-time of renovation'!$Z33+'4-time of renovation'!$AG33),0),0)</f>
        <v>0</v>
      </c>
      <c r="Q34" s="344">
        <f>I34-R34</f>
        <v>0</v>
      </c>
      <c r="R34" s="344">
        <f>MIN(IFERROR($I34*'4-time of renovation'!$AH33/('4-time of renovation'!$AA33+'4-time of renovation'!$AH33),0),0)</f>
        <v>0</v>
      </c>
      <c r="S34" s="347">
        <f>MAX($G34*'4-time of renovation'!AG33/'4-time of renovation'!$BB33+H34,0)</f>
        <v>0</v>
      </c>
      <c r="T34" s="347">
        <f>MAX($G34*'4-time of renovation'!AH33/'4-time of renovation'!$BB33+I34,0)</f>
        <v>0</v>
      </c>
      <c r="U34" s="347">
        <f>G34+J34</f>
        <v>0</v>
      </c>
      <c r="V34" s="347">
        <f>$G34*'4-time of renovation'!AJ33/'4-time of renovation'!$BB33</f>
        <v>0</v>
      </c>
      <c r="W34" s="347">
        <f>$G34*'4-time of renovation'!AK33/'4-time of renovation'!$BB33</f>
        <v>0</v>
      </c>
      <c r="X34" s="347">
        <f>$G34*'4-time of renovation'!AL33/'4-time of renovation'!$BB33</f>
        <v>0</v>
      </c>
      <c r="Y34" s="347">
        <f>G34</f>
        <v>0</v>
      </c>
      <c r="Z34" s="473">
        <f>MAX('4-time of renovation'!AN33+SUM(H$34:H34),0)</f>
        <v>313301.48590796144</v>
      </c>
      <c r="AA34" s="473">
        <f>MAX('4-time of renovation'!AO33+SUM(I$34:I34),0)</f>
        <v>372820.50170050294</v>
      </c>
      <c r="AB34" s="473">
        <f>MAX('4-time of renovation'!AP33+SUM(J$34:J34),0)</f>
        <v>413326.49855931586</v>
      </c>
      <c r="AC34" s="473">
        <f>MAX('4-time of renovation'!AQ33+SUM(K$34:K34),0)</f>
        <v>106638.23662830349</v>
      </c>
      <c r="AD34" s="473">
        <f>MAX('4-time of renovation'!AR33+SUM(L$34:L34),0)</f>
        <v>100025.01265135442</v>
      </c>
      <c r="AE34" s="473">
        <f>MAX('4-time of renovation'!AS33+SUM(M$34:M34),0)</f>
        <v>40505.996858812927</v>
      </c>
      <c r="AF34" s="473">
        <f>MAX('4-time of renovation'!AT33+SUM(N$34:N34),0)</f>
        <v>413326.49855931586</v>
      </c>
      <c r="AG34" s="344">
        <f t="shared" ref="AG34:AG59" si="3">-$C$12*SUMPRODUCT(S34:U34,GasUECs)</f>
        <v>0</v>
      </c>
      <c r="AH34" s="344">
        <f t="shared" ref="AH34:AH59" si="4">-$C$12*SUMPRODUCT(V34:Y34,ElecUECs)</f>
        <v>0</v>
      </c>
      <c r="AI34" s="354">
        <f>GasEmissions*($AG34)+'stock-flow model'!$B2*($AH34)/1000</f>
        <v>0</v>
      </c>
      <c r="AJ34" s="344">
        <f>O34*'Appliance Stock Profile'!$B$21+P34*'Appliance Stock Profile'!$B$20+Q34*'Appliance Stock Profile'!$C$21+R34*'Appliance Stock Profile'!$C$20+J34*'Appliance Stock Profile'!$D$20</f>
        <v>0</v>
      </c>
      <c r="AK34" s="344">
        <f t="shared" ref="AK34:AK59" si="5">SUMPRODUCT(K34:N34,ElecUEC_NEW)</f>
        <v>0</v>
      </c>
      <c r="AL34" s="354">
        <f>GasEmissions*($AG34+$AJ34)+'stock-flow model'!$B2*($AH34+$AK34)/1000</f>
        <v>0</v>
      </c>
      <c r="AM34" s="354">
        <f>MAX(GasEmissions*(SUM($AG$34:$AG34)+SUM(AJ$34:AJ34))+'stock-flow model'!$B2*(SUM($AH$34:$AH34)+SUM(AK$34:AK34))/1000,-'4-time of renovation'!BA33)</f>
        <v>0</v>
      </c>
      <c r="AN34" s="474">
        <f>'4-time of renovation'!BA33+AM34</f>
        <v>1096122.7763067521</v>
      </c>
      <c r="AO34" s="354">
        <f>MAX(C34+SUM(J$34:J34),0)</f>
        <v>413326.49855931586</v>
      </c>
      <c r="AP34" s="354">
        <f t="shared" ref="AP34:AP59" si="6">Z34+AD34-AC34</f>
        <v>306688.26193101238</v>
      </c>
      <c r="AQ34" s="354">
        <f t="shared" ref="AQ34:AQ59" si="7">Z34-AP34</f>
        <v>6613.2239769490552</v>
      </c>
      <c r="AR34" s="472">
        <f>IFERROR(AN34*'Housing Stock Profile'!$D$8*SUMPRODUCT('Appliance Stock Profile'!$B$20:$D$20,Z34:AB34)/('Housing Stock Profile'!$D$8*SUMPRODUCT('Appliance Stock Profile'!$B$20:$D$20,Z34:AB34)+'stock-flow model'!$B2*SUMPRODUCT(AC34:AF34,'Appliance Stock Profile'!$E$20:$H$20)/1000),0)</f>
        <v>949247.4583200037</v>
      </c>
      <c r="AS34" s="475">
        <f t="shared" ref="AS34:AS59" si="8">AN34-AR34</f>
        <v>146875.31798674841</v>
      </c>
    </row>
    <row r="35" spans="2:45" hidden="1" x14ac:dyDescent="0.3">
      <c r="B35" s="257">
        <v>2021</v>
      </c>
      <c r="C35" s="472">
        <f>'4-time of renovation'!BB34</f>
        <v>413326.49855931586</v>
      </c>
      <c r="D35" s="472">
        <f>'4-time of renovation'!D34-'4-time of renovation'!G34</f>
        <v>413326.49855931586</v>
      </c>
      <c r="E35" s="354">
        <f>MAX(D35*(($C$5="Date Certain-Rentals Only")*RentalRate+($C$5="Date Certain-All Homes"))-SUM(G$34:G34),0)</f>
        <v>128272.59115502487</v>
      </c>
      <c r="F35" s="529">
        <f t="shared" ref="F35:F59" si="9">$C$9*(TruePerformance)*($B35&gt;=StartBldgPerformance)*($B35&lt;(StartBldgPerformance+$C$8))</f>
        <v>0</v>
      </c>
      <c r="G35" s="529">
        <f t="shared" si="2"/>
        <v>0</v>
      </c>
      <c r="H35" s="354">
        <f>-MAX(controls!$B$26=TRUE, controls!$B$28=TRUE)*$G35*'4-time of renovation'!AN34/'4-time of renovation'!$BB34</f>
        <v>0</v>
      </c>
      <c r="I35" s="354">
        <f>-MAX(controls!$B$27=TRUE, controls!$B$28=TRUE)*$G35*'4-time of renovation'!AO34/'4-time of renovation'!$BB34</f>
        <v>0</v>
      </c>
      <c r="J35" s="354">
        <f>-controls!$B$28*$G35</f>
        <v>0</v>
      </c>
      <c r="K35" s="354">
        <f>-H35*('4-time of renovation'!BD34/('4-time of renovation'!BD34+'4-time of renovation'!BE34))</f>
        <v>0</v>
      </c>
      <c r="L35" s="354">
        <f t="shared" ref="L35:L59" si="10">-H35</f>
        <v>0</v>
      </c>
      <c r="M35" s="354">
        <f t="shared" ref="M35:M59" si="11">-I35</f>
        <v>0</v>
      </c>
      <c r="N35" s="354">
        <v>0</v>
      </c>
      <c r="O35" s="344">
        <f t="shared" ref="O35:O59" si="12">H35-P35</f>
        <v>0</v>
      </c>
      <c r="P35" s="344">
        <f>MIN(IFERROR($H35*('4-time of renovation'!$AG34+SUM(P$34:P34))/('4-time of renovation'!$Z34+'4-time of renovation'!$AG34+SUM(H$34:H34)),0),0)</f>
        <v>0</v>
      </c>
      <c r="Q35" s="344">
        <f t="shared" ref="Q35:Q59" si="13">I35-R35</f>
        <v>0</v>
      </c>
      <c r="R35" s="344">
        <f>MIN(IFERROR($I35*('4-time of renovation'!$AH34+SUM(R$34:R34))/('4-time of renovation'!$AA34+'4-time of renovation'!$AH34+SUM(I$34:I34)),0),0)</f>
        <v>0</v>
      </c>
      <c r="S35" s="347">
        <f>MAX($G35*'4-time of renovation'!AG34/'4-time of renovation'!$BB34+H35,0)</f>
        <v>0</v>
      </c>
      <c r="T35" s="347">
        <f>MAX($G35*'4-time of renovation'!AH34/'4-time of renovation'!$BB34+I35,0)</f>
        <v>0</v>
      </c>
      <c r="U35" s="347">
        <f t="shared" ref="U35:U59" si="14">G35+J35</f>
        <v>0</v>
      </c>
      <c r="V35" s="347">
        <f>$G35*'4-time of renovation'!AJ34/'4-time of renovation'!$BB34</f>
        <v>0</v>
      </c>
      <c r="W35" s="347">
        <f>$G35*'4-time of renovation'!AK34/'4-time of renovation'!$BB34</f>
        <v>0</v>
      </c>
      <c r="X35" s="347">
        <f>$G35*'4-time of renovation'!AL34/'4-time of renovation'!$BB34</f>
        <v>0</v>
      </c>
      <c r="Y35" s="347">
        <f t="shared" ref="Y35:Y59" si="15">G35</f>
        <v>0</v>
      </c>
      <c r="Z35" s="473">
        <f>MAX('4-time of renovation'!AN34+SUM(H$34:H35),0)</f>
        <v>313301.48590796144</v>
      </c>
      <c r="AA35" s="473">
        <f>MAX('4-time of renovation'!AO34+SUM(I$34:I35),0)</f>
        <v>372820.50170050294</v>
      </c>
      <c r="AB35" s="473">
        <f>MAX('4-time of renovation'!AP34+SUM(J$34:J35),0)</f>
        <v>413326.49855931586</v>
      </c>
      <c r="AC35" s="473">
        <f>MAX('4-time of renovation'!AQ34+SUM(K$34:K35),0)</f>
        <v>108239.12741521344</v>
      </c>
      <c r="AD35" s="473">
        <f>MAX('4-time of renovation'!AR34+SUM(L$34:L35),0)</f>
        <v>101625.90343826437</v>
      </c>
      <c r="AE35" s="473">
        <f>MAX('4-time of renovation'!AS34+SUM(M$34:M35),0)</f>
        <v>42106.887645722862</v>
      </c>
      <c r="AF35" s="473">
        <f>MAX('4-time of renovation'!AT34+SUM(N$34:N35),0)</f>
        <v>414927.38934622583</v>
      </c>
      <c r="AG35" s="344">
        <f t="shared" si="3"/>
        <v>0</v>
      </c>
      <c r="AH35" s="344">
        <f t="shared" si="4"/>
        <v>0</v>
      </c>
      <c r="AI35" s="354">
        <f>GasEmissions*($AG35)+'stock-flow model'!$B3*($AH35)/1000</f>
        <v>0</v>
      </c>
      <c r="AJ35" s="344">
        <f>O35*'Appliance Stock Profile'!$B$21+P35*'Appliance Stock Profile'!$B$20+Q35*'Appliance Stock Profile'!$C$21+R35*'Appliance Stock Profile'!$C$20+J35*'Appliance Stock Profile'!$D$20</f>
        <v>0</v>
      </c>
      <c r="AK35" s="344">
        <f t="shared" si="5"/>
        <v>0</v>
      </c>
      <c r="AL35" s="354">
        <f>GasEmissions*($AG35+$AJ35)+'stock-flow model'!$B3*($AH35+$AK35)/1000</f>
        <v>0</v>
      </c>
      <c r="AM35" s="354">
        <f>MAX(GasEmissions*(SUM($AG$34:$AG35)+SUM(AJ$34:AJ35))+'stock-flow model'!$B3*(SUM($AH$34:$AH35)+SUM(AK$34:AK35))/1000,-'4-time of renovation'!BA34)</f>
        <v>0</v>
      </c>
      <c r="AN35" s="474">
        <f>'4-time of renovation'!BA34+AM35</f>
        <v>1060934.5405731951</v>
      </c>
      <c r="AO35" s="354">
        <f>MAX(C35+SUM(J$34:J35),0)</f>
        <v>413326.49855931586</v>
      </c>
      <c r="AP35" s="354">
        <f t="shared" si="6"/>
        <v>306688.26193101238</v>
      </c>
      <c r="AQ35" s="354">
        <f t="shared" si="7"/>
        <v>6613.2239769490552</v>
      </c>
      <c r="AR35" s="472">
        <f>IFERROR(AN35*'Housing Stock Profile'!$D$8*SUMPRODUCT('Appliance Stock Profile'!$B$20:$D$20,Z35:AB35)/('Housing Stock Profile'!$D$8*SUMPRODUCT('Appliance Stock Profile'!$B$20:$D$20,Z35:AB35)+'stock-flow model'!$B3*SUMPRODUCT(AC35:AF35,'Appliance Stock Profile'!$E$20:$H$20)/1000),0)</f>
        <v>930613.39888461935</v>
      </c>
      <c r="AS35" s="475">
        <f t="shared" si="8"/>
        <v>130321.14168857574</v>
      </c>
    </row>
    <row r="36" spans="2:45" hidden="1" x14ac:dyDescent="0.3">
      <c r="B36" s="257">
        <v>2022</v>
      </c>
      <c r="C36" s="472">
        <f>'4-time of renovation'!BB35</f>
        <v>412364.05945020088</v>
      </c>
      <c r="D36" s="472">
        <f>'4-time of renovation'!D35-'4-time of renovation'!G35</f>
        <v>411123.69982261059</v>
      </c>
      <c r="E36" s="354">
        <f>MAX(D36*(($C$5="Date Certain-Rentals Only")*RentalRate+($C$5="Date Certain-All Homes"))-SUM(G$34:G35),0)</f>
        <v>127588.97008854334</v>
      </c>
      <c r="F36" s="529">
        <f t="shared" si="9"/>
        <v>12827.259115502487</v>
      </c>
      <c r="G36" s="529">
        <f t="shared" si="2"/>
        <v>11544.53320395224</v>
      </c>
      <c r="H36" s="354">
        <f>-MAX(controls!$B$26=TRUE, controls!$B$28=TRUE)*$G36*'4-time of renovation'!AN35/'4-time of renovation'!$BB35</f>
        <v>0</v>
      </c>
      <c r="I36" s="354">
        <f>-MAX(controls!$B$27=TRUE, controls!$B$28=TRUE)*$G36*'4-time of renovation'!AO35/'4-time of renovation'!$BB35</f>
        <v>0</v>
      </c>
      <c r="J36" s="354">
        <f>-controls!$B$28*$G36</f>
        <v>0</v>
      </c>
      <c r="K36" s="354">
        <f>-H36*('4-time of renovation'!BD35/('4-time of renovation'!BD35+'4-time of renovation'!BE35))</f>
        <v>0</v>
      </c>
      <c r="L36" s="354">
        <f t="shared" si="10"/>
        <v>0</v>
      </c>
      <c r="M36" s="354">
        <f t="shared" si="11"/>
        <v>0</v>
      </c>
      <c r="N36" s="354">
        <v>0</v>
      </c>
      <c r="O36" s="344">
        <f t="shared" si="12"/>
        <v>0</v>
      </c>
      <c r="P36" s="344">
        <f>MIN(IFERROR($H36*('4-time of renovation'!$AG35+SUM(P$34:P35))/('4-time of renovation'!$Z35+'4-time of renovation'!$AG35+SUM(H$34:H35)),0),0)</f>
        <v>0</v>
      </c>
      <c r="Q36" s="344">
        <f t="shared" si="13"/>
        <v>0</v>
      </c>
      <c r="R36" s="344">
        <f>MIN(IFERROR($I36*('4-time of renovation'!$AH35+SUM(R$34:R35))/('4-time of renovation'!$AA35+'4-time of renovation'!$AH35+SUM(I$34:I35)),0),0)</f>
        <v>0</v>
      </c>
      <c r="S36" s="347">
        <f>MAX($G36*'4-time of renovation'!AG35/'4-time of renovation'!$BB35+H36,0)</f>
        <v>7154.9368079078131</v>
      </c>
      <c r="T36" s="347">
        <f>MAX($G36*'4-time of renovation'!AH35/'4-time of renovation'!$BB35+I36,0)</f>
        <v>7182.323093746797</v>
      </c>
      <c r="U36" s="347">
        <f t="shared" si="14"/>
        <v>11544.53320395224</v>
      </c>
      <c r="V36" s="347">
        <f>$G36*'4-time of renovation'!AJ35/'4-time of renovation'!$BB35</f>
        <v>2427.2742893510094</v>
      </c>
      <c r="W36" s="347">
        <f>$G36*'4-time of renovation'!AK35/'4-time of renovation'!$BB35</f>
        <v>2276.745651251721</v>
      </c>
      <c r="X36" s="347">
        <f>$G36*'4-time of renovation'!AL35/'4-time of renovation'!$BB35</f>
        <v>826.68950438288834</v>
      </c>
      <c r="Y36" s="347">
        <f t="shared" si="15"/>
        <v>11544.53320395224</v>
      </c>
      <c r="Z36" s="473">
        <f>MAX('4-time of renovation'!AN35+SUM(H$34:H36),0)</f>
        <v>298097.94891210989</v>
      </c>
      <c r="AA36" s="473">
        <f>MAX('4-time of renovation'!AO35+SUM(I$34:I36),0)</f>
        <v>341492.79754709685</v>
      </c>
      <c r="AB36" s="473">
        <f>MAX('4-time of renovation'!AP35+SUM(J$34:J36),0)</f>
        <v>412364.05945020088</v>
      </c>
      <c r="AC36" s="473">
        <f>MAX('4-time of renovation'!AQ35+SUM(K$34:K36),0)</f>
        <v>124331.39540186161</v>
      </c>
      <c r="AD36" s="473">
        <f>MAX('4-time of renovation'!AR35+SUM(L$34:L36),0)</f>
        <v>118430.33122102582</v>
      </c>
      <c r="AE36" s="473">
        <f>MAX('4-time of renovation'!AS35+SUM(M$34:M36),0)</f>
        <v>75035.48258603891</v>
      </c>
      <c r="AF36" s="473">
        <f>MAX('4-time of renovation'!AT35+SUM(N$34:N36),0)</f>
        <v>416528.28013313573</v>
      </c>
      <c r="AG36" s="344">
        <f t="shared" si="3"/>
        <v>-582679.22466364095</v>
      </c>
      <c r="AH36" s="344">
        <f t="shared" si="4"/>
        <v>-11108008.917276317</v>
      </c>
      <c r="AI36" s="354">
        <f>GasEmissions*($AG36)+'stock-flow model'!$B4*($AH36)/1000</f>
        <v>-3579.7170165249822</v>
      </c>
      <c r="AJ36" s="344">
        <f>O36*'Appliance Stock Profile'!$B$21+P36*'Appliance Stock Profile'!$B$20+Q36*'Appliance Stock Profile'!$C$21+R36*'Appliance Stock Profile'!$C$20+J36*'Appliance Stock Profile'!$D$20</f>
        <v>0</v>
      </c>
      <c r="AK36" s="344">
        <f t="shared" si="5"/>
        <v>0</v>
      </c>
      <c r="AL36" s="354">
        <f>GasEmissions*($AG36+$AJ36)+'stock-flow model'!$B4*($AH36+$AK36)/1000</f>
        <v>-3579.7170165249822</v>
      </c>
      <c r="AM36" s="354">
        <f>MAX(GasEmissions*(SUM($AG$34:$AG36)+SUM(AJ$34:AJ36))+'stock-flow model'!$B4*(SUM($AH$34:$AH36)+SUM(AK$34:AK36))/1000,-'4-time of renovation'!BA35)</f>
        <v>-3579.7170165249822</v>
      </c>
      <c r="AN36" s="474">
        <f>'4-time of renovation'!BA35+AM36</f>
        <v>967738.73824654298</v>
      </c>
      <c r="AO36" s="354">
        <f>MAX(C36+SUM(J$34:J36),0)</f>
        <v>412364.05945020088</v>
      </c>
      <c r="AP36" s="354">
        <f t="shared" si="6"/>
        <v>292196.8847312741</v>
      </c>
      <c r="AQ36" s="354">
        <f t="shared" si="7"/>
        <v>5901.0641808357905</v>
      </c>
      <c r="AR36" s="472">
        <f>IFERROR(AN36*'Housing Stock Profile'!$D$8*SUMPRODUCT('Appliance Stock Profile'!$B$20:$D$20,Z36:AB36)/('Housing Stock Profile'!$D$8*SUMPRODUCT('Appliance Stock Profile'!$B$20:$D$20,Z36:AB36)+'stock-flow model'!$B4*SUMPRODUCT(AC36:AF36,'Appliance Stock Profile'!$E$20:$H$20)/1000),0)</f>
        <v>850753.49035263585</v>
      </c>
      <c r="AS36" s="475">
        <f t="shared" si="8"/>
        <v>116985.24789390713</v>
      </c>
    </row>
    <row r="37" spans="2:45" hidden="1" x14ac:dyDescent="0.3">
      <c r="B37" s="257">
        <v>2023</v>
      </c>
      <c r="C37" s="472">
        <f>'4-time of renovation'!BB36</f>
        <v>411409.28661772108</v>
      </c>
      <c r="D37" s="472">
        <f>'4-time of renovation'!D36-'4-time of renovation'!G36</f>
        <v>408985.5758655825</v>
      </c>
      <c r="E37" s="354">
        <f>MAX(D37*(($C$5="Date Certain-Rentals Only")*RentalRate+($C$5="Date Certain-All Homes"))-SUM(G$34:G36),0)</f>
        <v>115380.8871215476</v>
      </c>
      <c r="F37" s="529">
        <f t="shared" si="9"/>
        <v>12827.259115502487</v>
      </c>
      <c r="G37" s="529">
        <f t="shared" si="2"/>
        <v>11544.53320395224</v>
      </c>
      <c r="H37" s="354">
        <f>-MAX(controls!$B$26=TRUE, controls!$B$28=TRUE)*$G37*'4-time of renovation'!AN36/'4-time of renovation'!$BB36</f>
        <v>0</v>
      </c>
      <c r="I37" s="354">
        <f>-MAX(controls!$B$27=TRUE, controls!$B$28=TRUE)*$G37*'4-time of renovation'!AO36/'4-time of renovation'!$BB36</f>
        <v>0</v>
      </c>
      <c r="J37" s="354">
        <f>-controls!$B$28*$G37</f>
        <v>0</v>
      </c>
      <c r="K37" s="354">
        <f>-H37*('4-time of renovation'!BD36/('4-time of renovation'!BD36+'4-time of renovation'!BE36))</f>
        <v>0</v>
      </c>
      <c r="L37" s="354">
        <f t="shared" si="10"/>
        <v>0</v>
      </c>
      <c r="M37" s="354">
        <f t="shared" si="11"/>
        <v>0</v>
      </c>
      <c r="N37" s="354">
        <v>0</v>
      </c>
      <c r="O37" s="344">
        <f t="shared" si="12"/>
        <v>0</v>
      </c>
      <c r="P37" s="344">
        <f>MIN(IFERROR($H37*('4-time of renovation'!$AG36+SUM(P$34:P36))/('4-time of renovation'!$Z36+'4-time of renovation'!$AG36+SUM(H$34:H36)),0),0)</f>
        <v>0</v>
      </c>
      <c r="Q37" s="344">
        <f t="shared" si="13"/>
        <v>0</v>
      </c>
      <c r="R37" s="344">
        <f>MIN(IFERROR($I37*('4-time of renovation'!$AH36+SUM(R$34:R36))/('4-time of renovation'!$AA36+'4-time of renovation'!$AH36+SUM(I$34:I36)),0),0)</f>
        <v>0</v>
      </c>
      <c r="S37" s="347">
        <f>MAX($G37*'4-time of renovation'!AG36/'4-time of renovation'!$BB36+H37,0)</f>
        <v>6480.0679827786425</v>
      </c>
      <c r="T37" s="347">
        <f>MAX($G37*'4-time of renovation'!AH36/'4-time of renovation'!$BB36+I37,0)</f>
        <v>5953.421151986342</v>
      </c>
      <c r="U37" s="347">
        <f t="shared" si="14"/>
        <v>11544.53320395224</v>
      </c>
      <c r="V37" s="347">
        <f>$G37*'4-time of renovation'!AJ36/'4-time of renovation'!$BB36</f>
        <v>2270.7135313975969</v>
      </c>
      <c r="W37" s="347">
        <f>$G37*'4-time of renovation'!AK36/'4-time of renovation'!$BB36</f>
        <v>2129.894087589993</v>
      </c>
      <c r="X37" s="347">
        <f>$G37*'4-time of renovation'!AL36/'4-time of renovation'!$BB36</f>
        <v>745.74723011555557</v>
      </c>
      <c r="Y37" s="347">
        <f t="shared" si="15"/>
        <v>11544.53320395224</v>
      </c>
      <c r="Z37" s="473">
        <f>MAX('4-time of renovation'!AN36+SUM(H$34:H37),0)</f>
        <v>284278.66716001311</v>
      </c>
      <c r="AA37" s="473">
        <f>MAX('4-time of renovation'!AO36+SUM(I$34:I37),0)</f>
        <v>313485.75854132412</v>
      </c>
      <c r="AB37" s="473">
        <f>MAX('4-time of renovation'!AP36+SUM(J$34:J37),0)</f>
        <v>412306.44364117342</v>
      </c>
      <c r="AC37" s="473">
        <f>MAX('4-time of renovation'!AQ36+SUM(K$34:K37),0)</f>
        <v>139124.98725674179</v>
      </c>
      <c r="AD37" s="473">
        <f>MAX('4-time of renovation'!AR36+SUM(L$34:L37),0)</f>
        <v>133850.50376003259</v>
      </c>
      <c r="AE37" s="473">
        <f>MAX('4-time of renovation'!AS36+SUM(M$34:M37),0)</f>
        <v>104643.41237872158</v>
      </c>
      <c r="AF37" s="473">
        <f>MAX('4-time of renovation'!AT36+SUM(N$34:N37),0)</f>
        <v>418129.1709200457</v>
      </c>
      <c r="AG37" s="344">
        <f t="shared" si="3"/>
        <v>-510498.65975485917</v>
      </c>
      <c r="AH37" s="344">
        <f t="shared" si="4"/>
        <v>-11038292.069560735</v>
      </c>
      <c r="AI37" s="354">
        <f>GasEmissions*($AG37)+'stock-flow model'!$B5*($AH37)/1000</f>
        <v>-3133.0210999618894</v>
      </c>
      <c r="AJ37" s="344">
        <f>O37*'Appliance Stock Profile'!$B$21+P37*'Appliance Stock Profile'!$B$20+Q37*'Appliance Stock Profile'!$C$21+R37*'Appliance Stock Profile'!$C$20+J37*'Appliance Stock Profile'!$D$20</f>
        <v>0</v>
      </c>
      <c r="AK37" s="344">
        <f t="shared" si="5"/>
        <v>0</v>
      </c>
      <c r="AL37" s="354">
        <f>GasEmissions*($AG37+$AJ37)+'stock-flow model'!$B5*($AH37+$AK37)/1000</f>
        <v>-3133.0210999618894</v>
      </c>
      <c r="AM37" s="354">
        <f>MAX(GasEmissions*(SUM($AG$34:$AG37)+SUM(AJ$34:AJ37))+'stock-flow model'!$B5*(SUM($AH$34:$AH37)+SUM(AK$34:AK37))/1000,-'4-time of renovation'!BA36)</f>
        <v>-6651.2984757609111</v>
      </c>
      <c r="AN37" s="474">
        <f>'4-time of renovation'!BA36+AM37</f>
        <v>881426.56596336374</v>
      </c>
      <c r="AO37" s="354">
        <f>MAX(C37+SUM(J$34:J37),0)</f>
        <v>411409.28661772108</v>
      </c>
      <c r="AP37" s="354">
        <f t="shared" si="6"/>
        <v>279004.18366330391</v>
      </c>
      <c r="AQ37" s="354">
        <f t="shared" si="7"/>
        <v>5274.4834967092029</v>
      </c>
      <c r="AR37" s="472">
        <f>IFERROR(AN37*'Housing Stock Profile'!$D$8*SUMPRODUCT('Appliance Stock Profile'!$B$20:$D$20,Z37:AB37)/('Housing Stock Profile'!$D$8*SUMPRODUCT('Appliance Stock Profile'!$B$20:$D$20,Z37:AB37)+'stock-flow model'!$B5*SUMPRODUCT(AC37:AF37,'Appliance Stock Profile'!$E$20:$H$20)/1000),0)</f>
        <v>778604.45641340048</v>
      </c>
      <c r="AS37" s="475">
        <f t="shared" si="8"/>
        <v>102822.10954996326</v>
      </c>
    </row>
    <row r="38" spans="2:45" hidden="1" x14ac:dyDescent="0.3">
      <c r="B38" s="257">
        <v>2024</v>
      </c>
      <c r="C38" s="472">
        <f>'4-time of renovation'!BB37</f>
        <v>410461.9073366659</v>
      </c>
      <c r="D38" s="472">
        <f>'4-time of renovation'!D37-'4-time of renovation'!G37</f>
        <v>406909.23377985251</v>
      </c>
      <c r="E38" s="354">
        <f>MAX(D38*(($C$5="Date Certain-Rentals Only")*RentalRate+($C$5="Date Certain-All Homes"))-SUM(G$34:G37),0)</f>
        <v>103191.9776668852</v>
      </c>
      <c r="F38" s="529">
        <f t="shared" si="9"/>
        <v>12827.259115502487</v>
      </c>
      <c r="G38" s="529">
        <f t="shared" si="2"/>
        <v>11544.53320395224</v>
      </c>
      <c r="H38" s="354">
        <f>-MAX(controls!$B$26=TRUE, controls!$B$28=TRUE)*$G38*'4-time of renovation'!AN37/'4-time of renovation'!$BB37</f>
        <v>0</v>
      </c>
      <c r="I38" s="354">
        <f>-MAX(controls!$B$27=TRUE, controls!$B$28=TRUE)*$G38*'4-time of renovation'!AO37/'4-time of renovation'!$BB37</f>
        <v>0</v>
      </c>
      <c r="J38" s="354">
        <f>-controls!$B$28*$G38</f>
        <v>0</v>
      </c>
      <c r="K38" s="354">
        <f>-H38*('4-time of renovation'!BD37/('4-time of renovation'!BD37+'4-time of renovation'!BE37))</f>
        <v>0</v>
      </c>
      <c r="L38" s="354">
        <f t="shared" si="10"/>
        <v>0</v>
      </c>
      <c r="M38" s="354">
        <f t="shared" si="11"/>
        <v>0</v>
      </c>
      <c r="N38" s="354">
        <v>0</v>
      </c>
      <c r="O38" s="344">
        <f t="shared" si="12"/>
        <v>0</v>
      </c>
      <c r="P38" s="344">
        <f>MIN(IFERROR($H38*('4-time of renovation'!$AG37+SUM(P$34:P37))/('4-time of renovation'!$Z37+'4-time of renovation'!$AG37+SUM(H$34:H37)),0),0)</f>
        <v>0</v>
      </c>
      <c r="Q38" s="344">
        <f t="shared" si="13"/>
        <v>0</v>
      </c>
      <c r="R38" s="344">
        <f>MIN(IFERROR($I38*('4-time of renovation'!$AH37+SUM(R$34:R37))/('4-time of renovation'!$AA37+'4-time of renovation'!$AH37+SUM(I$34:I37)),0),0)</f>
        <v>0</v>
      </c>
      <c r="S38" s="347">
        <f>MAX($G38*'4-time of renovation'!AG37/'4-time of renovation'!$BB37+H38,0)</f>
        <v>5852.5179697119092</v>
      </c>
      <c r="T38" s="347">
        <f>MAX($G38*'4-time of renovation'!AH37/'4-time of renovation'!$BB37+I38,0)</f>
        <v>4880.7619430104942</v>
      </c>
      <c r="U38" s="347">
        <f t="shared" si="14"/>
        <v>11544.53320395224</v>
      </c>
      <c r="V38" s="347">
        <f>$G38*'4-time of renovation'!AJ37/'4-time of renovation'!$BB37</f>
        <v>2124.2242204284212</v>
      </c>
      <c r="W38" s="347">
        <f>$G38*'4-time of renovation'!AK37/'4-time of renovation'!$BB37</f>
        <v>1992.489385053015</v>
      </c>
      <c r="X38" s="347">
        <f>$G38*'4-time of renovation'!AL37/'4-time of renovation'!$BB37</f>
        <v>672.72162753607608</v>
      </c>
      <c r="Y38" s="347">
        <f t="shared" si="15"/>
        <v>11544.53320395224</v>
      </c>
      <c r="Z38" s="473">
        <f>MAX('4-time of renovation'!AN37+SUM(H$34:H38),0)</f>
        <v>271123.65444070299</v>
      </c>
      <c r="AA38" s="473">
        <f>MAX('4-time of renovation'!AO37+SUM(I$34:I38),0)</f>
        <v>287779.29225583817</v>
      </c>
      <c r="AB38" s="473">
        <f>MAX('4-time of renovation'!AP37+SUM(J$34:J38),0)</f>
        <v>412251.55555446394</v>
      </c>
      <c r="AC38" s="473">
        <f>MAX('4-time of renovation'!AQ37+SUM(K$34:K38),0)</f>
        <v>153318.53772670199</v>
      </c>
      <c r="AD38" s="473">
        <f>MAX('4-time of renovation'!AR37+SUM(L$34:L38),0)</f>
        <v>148606.40726625262</v>
      </c>
      <c r="AE38" s="473">
        <f>MAX('4-time of renovation'!AS37+SUM(M$34:M38),0)</f>
        <v>131950.7694511174</v>
      </c>
      <c r="AF38" s="473">
        <f>MAX('4-time of renovation'!AT37+SUM(N$34:N38),0)</f>
        <v>419730.0617069556</v>
      </c>
      <c r="AG38" s="344">
        <f t="shared" si="3"/>
        <v>-446108.14525682945</v>
      </c>
      <c r="AH38" s="344">
        <f t="shared" si="4"/>
        <v>-10973568.032123717</v>
      </c>
      <c r="AI38" s="354">
        <f>GasEmissions*($AG38)+'stock-flow model'!$B6*($AH38)/1000</f>
        <v>-2728.5493687082985</v>
      </c>
      <c r="AJ38" s="344">
        <f>O38*'Appliance Stock Profile'!$B$21+P38*'Appliance Stock Profile'!$B$20+Q38*'Appliance Stock Profile'!$C$21+R38*'Appliance Stock Profile'!$C$20+J38*'Appliance Stock Profile'!$D$20</f>
        <v>0</v>
      </c>
      <c r="AK38" s="344">
        <f t="shared" si="5"/>
        <v>0</v>
      </c>
      <c r="AL38" s="354">
        <f>GasEmissions*($AG38+$AJ38)+'stock-flow model'!$B6*($AH38+$AK38)/1000</f>
        <v>-2728.5493687082985</v>
      </c>
      <c r="AM38" s="354">
        <f>MAX(GasEmissions*(SUM($AG$34:$AG38)+SUM(AJ$34:AJ38))+'stock-flow model'!$B6*(SUM($AH$34:$AH38)+SUM(AK$34:AK38))/1000,-'4-time of renovation'!BA37)</f>
        <v>-9257.3541747059444</v>
      </c>
      <c r="AN38" s="474">
        <f>'4-time of renovation'!BA37+AM38</f>
        <v>801331.15091561608</v>
      </c>
      <c r="AO38" s="354">
        <f>MAX(C38+SUM(J$34:J38),0)</f>
        <v>410461.9073366659</v>
      </c>
      <c r="AP38" s="354">
        <f t="shared" si="6"/>
        <v>266411.52398025361</v>
      </c>
      <c r="AQ38" s="354">
        <f t="shared" si="7"/>
        <v>4712.130460449378</v>
      </c>
      <c r="AR38" s="472">
        <f>IFERROR(AN38*'Housing Stock Profile'!$D$8*SUMPRODUCT('Appliance Stock Profile'!$B$20:$D$20,Z38:AB38)/('Housing Stock Profile'!$D$8*SUMPRODUCT('Appliance Stock Profile'!$B$20:$D$20,Z38:AB38)+'stock-flow model'!$B6*SUMPRODUCT(AC38:AF38,'Appliance Stock Profile'!$E$20:$H$20)/1000),0)</f>
        <v>713011.63223038905</v>
      </c>
      <c r="AS38" s="475">
        <f t="shared" si="8"/>
        <v>88319.518685227027</v>
      </c>
    </row>
    <row r="39" spans="2:45" hidden="1" x14ac:dyDescent="0.3">
      <c r="B39" s="257">
        <v>2025</v>
      </c>
      <c r="C39" s="472">
        <f>'4-time of renovation'!BB38</f>
        <v>409521.66124323843</v>
      </c>
      <c r="D39" s="472">
        <f>'4-time of renovation'!D38-'4-time of renovation'!G38</f>
        <v>404891.91344539978</v>
      </c>
      <c r="E39" s="354">
        <f>MAX(D39*(($C$5="Date Certain-Rentals Only")*RentalRate+($C$5="Date Certain-All Homes"))-SUM(G$34:G38),0)</f>
        <v>91021.38514326213</v>
      </c>
      <c r="F39" s="529">
        <f t="shared" si="9"/>
        <v>12827.259115502487</v>
      </c>
      <c r="G39" s="529">
        <f t="shared" si="2"/>
        <v>11544.53320395224</v>
      </c>
      <c r="H39" s="354">
        <f>-MAX(controls!$B$26=TRUE, controls!$B$28=TRUE)*$G39*'4-time of renovation'!AN38/'4-time of renovation'!$BB38</f>
        <v>0</v>
      </c>
      <c r="I39" s="354">
        <f>-MAX(controls!$B$27=TRUE, controls!$B$28=TRUE)*$G39*'4-time of renovation'!AO38/'4-time of renovation'!$BB38</f>
        <v>0</v>
      </c>
      <c r="J39" s="354">
        <f>-controls!$B$28*$G39</f>
        <v>0</v>
      </c>
      <c r="K39" s="354">
        <f>-H39*('4-time of renovation'!BD38/('4-time of renovation'!BD38+'4-time of renovation'!BE38))</f>
        <v>0</v>
      </c>
      <c r="L39" s="354">
        <f t="shared" si="10"/>
        <v>0</v>
      </c>
      <c r="M39" s="354">
        <f t="shared" si="11"/>
        <v>0</v>
      </c>
      <c r="N39" s="354">
        <v>0</v>
      </c>
      <c r="O39" s="344">
        <f t="shared" si="12"/>
        <v>0</v>
      </c>
      <c r="P39" s="344">
        <f>MIN(IFERROR($H39*('4-time of renovation'!$AG38+SUM(P$34:P38))/('4-time of renovation'!$Z38+'4-time of renovation'!$AG38+SUM(H$34:H38)),0),0)</f>
        <v>0</v>
      </c>
      <c r="Q39" s="344">
        <f t="shared" si="13"/>
        <v>0</v>
      </c>
      <c r="R39" s="344">
        <f>MIN(IFERROR($I39*('4-time of renovation'!$AH38+SUM(R$34:R38))/('4-time of renovation'!$AA38+'4-time of renovation'!$AH38+SUM(I$34:I38)),0),0)</f>
        <v>0</v>
      </c>
      <c r="S39" s="347">
        <f>MAX($G39*'4-time of renovation'!AG38/'4-time of renovation'!$BB38+H39,0)</f>
        <v>5269.2864800052121</v>
      </c>
      <c r="T39" s="347">
        <f>MAX($G39*'4-time of renovation'!AH38/'4-time of renovation'!$BB38+I39,0)</f>
        <v>3946.7340880776233</v>
      </c>
      <c r="U39" s="347">
        <f t="shared" si="14"/>
        <v>11544.53320395224</v>
      </c>
      <c r="V39" s="347">
        <f>$G39*'4-time of renovation'!AJ38/'4-time of renovation'!$BB38</f>
        <v>1987.1612675678512</v>
      </c>
      <c r="W39" s="347">
        <f>$G39*'4-time of renovation'!AK38/'4-time of renovation'!$BB38</f>
        <v>1863.9264602768212</v>
      </c>
      <c r="X39" s="347">
        <f>$G39*'4-time of renovation'!AL38/'4-time of renovation'!$BB38</f>
        <v>606.83955362978679</v>
      </c>
      <c r="Y39" s="347">
        <f t="shared" si="15"/>
        <v>11544.53320395224</v>
      </c>
      <c r="Z39" s="473">
        <f>MAX('4-time of renovation'!AN38+SUM(H$34:H39),0)</f>
        <v>258598.711404551</v>
      </c>
      <c r="AA39" s="473">
        <f>MAX('4-time of renovation'!AO38+SUM(I$34:I39),0)</f>
        <v>264183.96038432937</v>
      </c>
      <c r="AB39" s="473">
        <f>MAX('4-time of renovation'!AP38+SUM(J$34:J39),0)</f>
        <v>412199.26964710874</v>
      </c>
      <c r="AC39" s="473">
        <f>MAX('4-time of renovation'!AQ38+SUM(K$34:K39),0)</f>
        <v>166939.95131204108</v>
      </c>
      <c r="AD39" s="473">
        <f>MAX('4-time of renovation'!AR38+SUM(L$34:L39),0)</f>
        <v>162732.2410893146</v>
      </c>
      <c r="AE39" s="473">
        <f>MAX('4-time of renovation'!AS38+SUM(M$34:M39),0)</f>
        <v>157146.99210953622</v>
      </c>
      <c r="AF39" s="473">
        <f>MAX('4-time of renovation'!AT38+SUM(N$34:N39),0)</f>
        <v>421330.95249386557</v>
      </c>
      <c r="AG39" s="344">
        <f t="shared" si="3"/>
        <v>-388713.69906968315</v>
      </c>
      <c r="AH39" s="344">
        <f t="shared" si="4"/>
        <v>-10913467.130606625</v>
      </c>
      <c r="AI39" s="354">
        <f>GasEmissions*($AG39)+'stock-flow model'!$B7*($AH39)/1000</f>
        <v>-2362.0006467060139</v>
      </c>
      <c r="AJ39" s="344">
        <f>O39*'Appliance Stock Profile'!$B$21+P39*'Appliance Stock Profile'!$B$20+Q39*'Appliance Stock Profile'!$C$21+R39*'Appliance Stock Profile'!$C$20+J39*'Appliance Stock Profile'!$D$20</f>
        <v>0</v>
      </c>
      <c r="AK39" s="344">
        <f t="shared" si="5"/>
        <v>0</v>
      </c>
      <c r="AL39" s="354">
        <f>GasEmissions*($AG39+$AJ39)+'stock-flow model'!$B7*($AH39+$AK39)/1000</f>
        <v>-2362.0006467060139</v>
      </c>
      <c r="AM39" s="354">
        <f>MAX(GasEmissions*(SUM($AG$34:$AG39)+SUM(AJ$34:AJ39))+'stock-flow model'!$B7*(SUM($AH$34:$AH39)+SUM(AK$34:AK39))/1000,-'4-time of renovation'!BA38)</f>
        <v>-11436.16511850751</v>
      </c>
      <c r="AN39" s="474">
        <f>'4-time of renovation'!BA38+AM39</f>
        <v>726850.87136669143</v>
      </c>
      <c r="AO39" s="354">
        <f>MAX(C39+SUM(J$34:J39),0)</f>
        <v>409521.66124323843</v>
      </c>
      <c r="AP39" s="354">
        <f t="shared" si="6"/>
        <v>254391.00118182454</v>
      </c>
      <c r="AQ39" s="354">
        <f t="shared" si="7"/>
        <v>4207.710222726455</v>
      </c>
      <c r="AR39" s="472">
        <f>IFERROR(AN39*'Housing Stock Profile'!$D$8*SUMPRODUCT('Appliance Stock Profile'!$B$20:$D$20,Z39:AB39)/('Housing Stock Profile'!$D$8*SUMPRODUCT('Appliance Stock Profile'!$B$20:$D$20,Z39:AB39)+'stock-flow model'!$B7*SUMPRODUCT(AC39:AF39,'Appliance Stock Profile'!$E$20:$H$20)/1000),0)</f>
        <v>653261.45445047936</v>
      </c>
      <c r="AS39" s="475">
        <f t="shared" si="8"/>
        <v>73589.416916212067</v>
      </c>
    </row>
    <row r="40" spans="2:45" hidden="1" x14ac:dyDescent="0.3">
      <c r="B40" s="257">
        <v>2026</v>
      </c>
      <c r="C40" s="472">
        <f>'4-time of renovation'!BB39</f>
        <v>408588.29976728652</v>
      </c>
      <c r="D40" s="472">
        <f>'4-time of renovation'!D39-'4-time of renovation'!G39</f>
        <v>402930.98142781766</v>
      </c>
      <c r="E40" s="354">
        <f>MAX(D40*(($C$5="Date Certain-Rentals Only")*RentalRate+($C$5="Date Certain-All Homes"))-SUM(G$34:G39),0)</f>
        <v>78868.292285257092</v>
      </c>
      <c r="F40" s="529">
        <f t="shared" si="9"/>
        <v>12827.259115502487</v>
      </c>
      <c r="G40" s="529">
        <f t="shared" si="2"/>
        <v>11544.53320395224</v>
      </c>
      <c r="H40" s="354">
        <f>-MAX(controls!$B$26=TRUE, controls!$B$28=TRUE)*$G40*'4-time of renovation'!AN39/'4-time of renovation'!$BB39</f>
        <v>0</v>
      </c>
      <c r="I40" s="354">
        <f>-MAX(controls!$B$27=TRUE, controls!$B$28=TRUE)*$G40*'4-time of renovation'!AO39/'4-time of renovation'!$BB39</f>
        <v>0</v>
      </c>
      <c r="J40" s="354">
        <f>-controls!$B$28*$G40</f>
        <v>0</v>
      </c>
      <c r="K40" s="354">
        <f>-H40*('4-time of renovation'!BD39/('4-time of renovation'!BD39+'4-time of renovation'!BE39))</f>
        <v>0</v>
      </c>
      <c r="L40" s="354">
        <f t="shared" si="10"/>
        <v>0</v>
      </c>
      <c r="M40" s="354">
        <f t="shared" si="11"/>
        <v>0</v>
      </c>
      <c r="N40" s="354">
        <v>0</v>
      </c>
      <c r="O40" s="344">
        <f t="shared" si="12"/>
        <v>0</v>
      </c>
      <c r="P40" s="344">
        <f>MIN(IFERROR($H40*('4-time of renovation'!$AG39+SUM(P$34:P39))/('4-time of renovation'!$Z39+'4-time of renovation'!$AG39+SUM(H$34:H39)),0),0)</f>
        <v>0</v>
      </c>
      <c r="Q40" s="344">
        <f t="shared" si="13"/>
        <v>0</v>
      </c>
      <c r="R40" s="344">
        <f>MIN(IFERROR($I40*('4-time of renovation'!$AH39+SUM(R$34:R39))/('4-time of renovation'!$AA39+'4-time of renovation'!$AH39+SUM(I$34:I39)),0),0)</f>
        <v>0</v>
      </c>
      <c r="S40" s="347">
        <f>MAX($G40*'4-time of renovation'!AG39/'4-time of renovation'!$BB39+H40,0)</f>
        <v>4727.5590941895307</v>
      </c>
      <c r="T40" s="347">
        <f>MAX($G40*'4-time of renovation'!AH39/'4-time of renovation'!$BB39+I40,0)</f>
        <v>3135.5838954916917</v>
      </c>
      <c r="U40" s="347">
        <f t="shared" si="14"/>
        <v>11544.53320395224</v>
      </c>
      <c r="V40" s="347">
        <f>$G40*'4-time of renovation'!AJ39/'4-time of renovation'!$BB39</f>
        <v>1858.9206094619642</v>
      </c>
      <c r="W40" s="347">
        <f>$G40*'4-time of renovation'!AK39/'4-time of renovation'!$BB39</f>
        <v>1743.6387112007569</v>
      </c>
      <c r="X40" s="347">
        <f>$G40*'4-time of renovation'!AL39/'4-time of renovation'!$BB39</f>
        <v>547.40321254158789</v>
      </c>
      <c r="Y40" s="347">
        <f t="shared" si="15"/>
        <v>11544.53320395224</v>
      </c>
      <c r="Z40" s="473">
        <f>MAX('4-time of renovation'!AN39+SUM(H$34:H40),0)</f>
        <v>246671.59974963655</v>
      </c>
      <c r="AA40" s="473">
        <f>MAX('4-time of renovation'!AO39+SUM(I$34:I40),0)</f>
        <v>242525.98492251273</v>
      </c>
      <c r="AB40" s="473">
        <f>MAX('4-time of renovation'!AP39+SUM(J$34:J40),0)</f>
        <v>412149.46614663559</v>
      </c>
      <c r="AC40" s="473">
        <f>MAX('4-time of renovation'!AQ39+SUM(K$34:K40),0)</f>
        <v>180015.74780908992</v>
      </c>
      <c r="AD40" s="473">
        <f>MAX('4-time of renovation'!AR39+SUM(L$34:L40),0)</f>
        <v>176260.24353113893</v>
      </c>
      <c r="AE40" s="473">
        <f>MAX('4-time of renovation'!AS39+SUM(M$34:M40),0)</f>
        <v>180405.85835826281</v>
      </c>
      <c r="AF40" s="473">
        <f>MAX('4-time of renovation'!AT39+SUM(N$34:N40),0)</f>
        <v>422931.84328077547</v>
      </c>
      <c r="AG40" s="344">
        <f t="shared" si="3"/>
        <v>-337600.38287301367</v>
      </c>
      <c r="AH40" s="344">
        <f t="shared" si="4"/>
        <v>-10857648.108115379</v>
      </c>
      <c r="AI40" s="354">
        <f>GasEmissions*($AG40)+'stock-flow model'!$B8*($AH40)/1000</f>
        <v>-2029.5014974897281</v>
      </c>
      <c r="AJ40" s="344">
        <f>O40*'Appliance Stock Profile'!$B$21+P40*'Appliance Stock Profile'!$B$20+Q40*'Appliance Stock Profile'!$C$21+R40*'Appliance Stock Profile'!$C$20+J40*'Appliance Stock Profile'!$D$20</f>
        <v>0</v>
      </c>
      <c r="AK40" s="344">
        <f t="shared" si="5"/>
        <v>0</v>
      </c>
      <c r="AL40" s="354">
        <f>GasEmissions*($AG40+$AJ40)+'stock-flow model'!$B8*($AH40+$AK40)/1000</f>
        <v>-2029.5014974897281</v>
      </c>
      <c r="AM40" s="354">
        <f>MAX(GasEmissions*(SUM($AG$34:$AG40)+SUM(AJ$34:AJ40))+'stock-flow model'!$B8*(SUM($AH$34:$AH40)+SUM(AK$34:AK40))/1000,-'4-time of renovation'!BA39)</f>
        <v>-13222.113304765449</v>
      </c>
      <c r="AN40" s="474">
        <f>'4-time of renovation'!BA39+AM40</f>
        <v>657442.94145775679</v>
      </c>
      <c r="AO40" s="354">
        <f>MAX(C40+SUM(J$34:J40),0)</f>
        <v>408588.29976728652</v>
      </c>
      <c r="AP40" s="354">
        <f t="shared" si="6"/>
        <v>242916.09547168555</v>
      </c>
      <c r="AQ40" s="354">
        <f t="shared" si="7"/>
        <v>3755.5042779509968</v>
      </c>
      <c r="AR40" s="472">
        <f>IFERROR(AN40*'Housing Stock Profile'!$D$8*SUMPRODUCT('Appliance Stock Profile'!$B$20:$D$20,Z40:AB40)/('Housing Stock Profile'!$D$8*SUMPRODUCT('Appliance Stock Profile'!$B$20:$D$20,Z40:AB40)+'stock-flow model'!$B8*SUMPRODUCT(AC40:AF40,'Appliance Stock Profile'!$E$20:$H$20)/1000),0)</f>
        <v>598709.08389941137</v>
      </c>
      <c r="AS40" s="475">
        <f t="shared" si="8"/>
        <v>58733.857558345422</v>
      </c>
    </row>
    <row r="41" spans="2:45" hidden="1" x14ac:dyDescent="0.3">
      <c r="B41" s="257">
        <v>2027</v>
      </c>
      <c r="C41" s="472">
        <f>'4-time of renovation'!BB40</f>
        <v>407661.58559062862</v>
      </c>
      <c r="D41" s="472">
        <f>'4-time of renovation'!D40-'4-time of renovation'!G40</f>
        <v>401023.92515605857</v>
      </c>
      <c r="E41" s="354">
        <f>MAX(D41*(($C$5="Date Certain-Rentals Only")*RentalRate+($C$5="Date Certain-All Homes"))-SUM(G$34:G40),0)</f>
        <v>66731.919336430932</v>
      </c>
      <c r="F41" s="529">
        <f t="shared" si="9"/>
        <v>12827.259115502487</v>
      </c>
      <c r="G41" s="529">
        <f t="shared" si="2"/>
        <v>11544.53320395224</v>
      </c>
      <c r="H41" s="354">
        <f>-MAX(controls!$B$26=TRUE, controls!$B$28=TRUE)*$G41*'4-time of renovation'!AN40/'4-time of renovation'!$BB40</f>
        <v>0</v>
      </c>
      <c r="I41" s="354">
        <f>-MAX(controls!$B$27=TRUE, controls!$B$28=TRUE)*$G41*'4-time of renovation'!AO40/'4-time of renovation'!$BB40</f>
        <v>0</v>
      </c>
      <c r="J41" s="354">
        <f>-controls!$B$28*$G41</f>
        <v>0</v>
      </c>
      <c r="K41" s="354">
        <f>-H41*('4-time of renovation'!BD40/('4-time of renovation'!BD40+'4-time of renovation'!BE40))</f>
        <v>0</v>
      </c>
      <c r="L41" s="354">
        <f t="shared" si="10"/>
        <v>0</v>
      </c>
      <c r="M41" s="354">
        <f t="shared" si="11"/>
        <v>0</v>
      </c>
      <c r="N41" s="354">
        <v>0</v>
      </c>
      <c r="O41" s="344">
        <f t="shared" si="12"/>
        <v>0</v>
      </c>
      <c r="P41" s="344">
        <f>MIN(IFERROR($H41*('4-time of renovation'!$AG40+SUM(P$34:P40))/('4-time of renovation'!$Z40+'4-time of renovation'!$AG40+SUM(H$34:H40)),0),0)</f>
        <v>0</v>
      </c>
      <c r="Q41" s="344">
        <f t="shared" si="13"/>
        <v>0</v>
      </c>
      <c r="R41" s="344">
        <f>MIN(IFERROR($I41*('4-time of renovation'!$AH40+SUM(R$34:R40))/('4-time of renovation'!$AA40+'4-time of renovation'!$AH40+SUM(I$34:I40)),0),0)</f>
        <v>0</v>
      </c>
      <c r="S41" s="347">
        <f>MAX($G41*'4-time of renovation'!AG40/'4-time of renovation'!$BB40+H41,0)</f>
        <v>4224.6953920046999</v>
      </c>
      <c r="T41" s="347">
        <f>MAX($G41*'4-time of renovation'!AH40/'4-time of renovation'!$BB40+I41,0)</f>
        <v>2433.2276622541376</v>
      </c>
      <c r="U41" s="347">
        <f t="shared" si="14"/>
        <v>11544.53320395224</v>
      </c>
      <c r="V41" s="347">
        <f>$G41*'4-time of renovation'!AJ40/'4-time of renovation'!$BB40</f>
        <v>1738.9366299513788</v>
      </c>
      <c r="W41" s="347">
        <f>$G41*'4-time of renovation'!AK40/'4-time of renovation'!$BB40</f>
        <v>1631.0955986365643</v>
      </c>
      <c r="X41" s="347">
        <f>$G41*'4-time of renovation'!AL40/'4-time of renovation'!$BB40</f>
        <v>493.78283415623758</v>
      </c>
      <c r="Y41" s="347">
        <f t="shared" si="15"/>
        <v>11544.53320395224</v>
      </c>
      <c r="Z41" s="473">
        <f>MAX('4-time of renovation'!AN40+SUM(H$34:H41),0)</f>
        <v>235311.91479739727</v>
      </c>
      <c r="AA41" s="473">
        <f>MAX('4-time of renovation'!AO40+SUM(I$34:I41),0)</f>
        <v>222645.94550634286</v>
      </c>
      <c r="AB41" s="473">
        <f>MAX('4-time of renovation'!AP40+SUM(J$34:J41),0)</f>
        <v>412102.03078584379</v>
      </c>
      <c r="AC41" s="473">
        <f>MAX('4-time of renovation'!AQ40+SUM(K$34:K41),0)</f>
        <v>192571.1433339534</v>
      </c>
      <c r="AD41" s="473">
        <f>MAX('4-time of renovation'!AR40+SUM(L$34:L41),0)</f>
        <v>189220.81927028814</v>
      </c>
      <c r="AE41" s="473">
        <f>MAX('4-time of renovation'!AS40+SUM(M$34:M41),0)</f>
        <v>201886.7885613426</v>
      </c>
      <c r="AF41" s="473">
        <f>MAX('4-time of renovation'!AT40+SUM(N$34:N41),0)</f>
        <v>424532.73406768544</v>
      </c>
      <c r="AG41" s="344">
        <f t="shared" si="3"/>
        <v>-292124.56468275032</v>
      </c>
      <c r="AH41" s="344">
        <f t="shared" si="4"/>
        <v>-10805795.854473274</v>
      </c>
      <c r="AI41" s="354">
        <f>GasEmissions*($AG41)+'stock-flow model'!$B9*($AH41)/1000</f>
        <v>-1727.5643921583003</v>
      </c>
      <c r="AJ41" s="344">
        <f>O41*'Appliance Stock Profile'!$B$21+P41*'Appliance Stock Profile'!$B$20+Q41*'Appliance Stock Profile'!$C$21+R41*'Appliance Stock Profile'!$C$20+J41*'Appliance Stock Profile'!$D$20</f>
        <v>0</v>
      </c>
      <c r="AK41" s="344">
        <f t="shared" si="5"/>
        <v>0</v>
      </c>
      <c r="AL41" s="354">
        <f>GasEmissions*($AG41+$AJ41)+'stock-flow model'!$B9*($AH41+$AK41)/1000</f>
        <v>-1727.5643921583003</v>
      </c>
      <c r="AM41" s="354">
        <f>MAX(GasEmissions*(SUM($AG$34:$AG41)+SUM(AJ$34:AJ41))+'stock-flow model'!$B9*(SUM($AH$34:$AH41)+SUM(AK$34:AK41))/1000,-'4-time of renovation'!BA40)</f>
        <v>-14646.069518626275</v>
      </c>
      <c r="AN41" s="474">
        <f>'4-time of renovation'!BA40+AM41</f>
        <v>592617.62937616056</v>
      </c>
      <c r="AO41" s="354">
        <f>MAX(C41+SUM(J$34:J41),0)</f>
        <v>407661.58559062862</v>
      </c>
      <c r="AP41" s="354">
        <f t="shared" si="6"/>
        <v>231961.59073373204</v>
      </c>
      <c r="AQ41" s="354">
        <f t="shared" si="7"/>
        <v>3350.3240636652336</v>
      </c>
      <c r="AR41" s="472">
        <f>IFERROR(AN41*'Housing Stock Profile'!$D$8*SUMPRODUCT('Appliance Stock Profile'!$B$20:$D$20,Z41:AB41)/('Housing Stock Profile'!$D$8*SUMPRODUCT('Appliance Stock Profile'!$B$20:$D$20,Z41:AB41)+'stock-flow model'!$B9*SUMPRODUCT(AC41:AF41,'Appliance Stock Profile'!$E$20:$H$20)/1000),0)</f>
        <v>548768.46585292218</v>
      </c>
      <c r="AS41" s="475">
        <f t="shared" si="8"/>
        <v>43849.163523238385</v>
      </c>
    </row>
    <row r="42" spans="2:45" hidden="1" x14ac:dyDescent="0.3">
      <c r="B42" s="257">
        <v>2028</v>
      </c>
      <c r="C42" s="472">
        <f>'4-time of renovation'!BB41</f>
        <v>406741.29213027487</v>
      </c>
      <c r="D42" s="472">
        <f>'4-time of renovation'!D41-'4-time of renovation'!G41</f>
        <v>399168.34736777667</v>
      </c>
      <c r="E42" s="354">
        <f>MAX(D42*(($C$5="Date Certain-Rentals Only")*RentalRate+($C$5="Date Certain-All Homes"))-SUM(G$34:G41),0)</f>
        <v>54611.522325482845</v>
      </c>
      <c r="F42" s="529">
        <f t="shared" si="9"/>
        <v>12827.259115502487</v>
      </c>
      <c r="G42" s="529">
        <f t="shared" si="2"/>
        <v>11544.53320395224</v>
      </c>
      <c r="H42" s="354">
        <f>-MAX(controls!$B$26=TRUE, controls!$B$28=TRUE)*$G42*'4-time of renovation'!AN41/'4-time of renovation'!$BB41</f>
        <v>0</v>
      </c>
      <c r="I42" s="354">
        <f>-MAX(controls!$B$27=TRUE, controls!$B$28=TRUE)*$G42*'4-time of renovation'!AO41/'4-time of renovation'!$BB41</f>
        <v>0</v>
      </c>
      <c r="J42" s="354">
        <f>-controls!$B$28*$G42</f>
        <v>0</v>
      </c>
      <c r="K42" s="354">
        <f>-H42*('4-time of renovation'!BD41/('4-time of renovation'!BD41+'4-time of renovation'!BE41))</f>
        <v>0</v>
      </c>
      <c r="L42" s="354">
        <f t="shared" si="10"/>
        <v>0</v>
      </c>
      <c r="M42" s="354">
        <f t="shared" si="11"/>
        <v>0</v>
      </c>
      <c r="N42" s="354">
        <v>0</v>
      </c>
      <c r="O42" s="344">
        <f t="shared" si="12"/>
        <v>0</v>
      </c>
      <c r="P42" s="344">
        <f>MIN(IFERROR($H42*('4-time of renovation'!$AG41+SUM(P$34:P41))/('4-time of renovation'!$Z41+'4-time of renovation'!$AG41+SUM(H$34:H41)),0),0)</f>
        <v>0</v>
      </c>
      <c r="Q42" s="344">
        <f t="shared" si="13"/>
        <v>0</v>
      </c>
      <c r="R42" s="344">
        <f>MIN(IFERROR($I42*('4-time of renovation'!$AH41+SUM(R$34:R41))/('4-time of renovation'!$AA41+'4-time of renovation'!$AH41+SUM(I$34:I41)),0),0)</f>
        <v>0</v>
      </c>
      <c r="S42" s="347">
        <f>MAX($G42*'4-time of renovation'!AG41/'4-time of renovation'!$BB41+H42,0)</f>
        <v>3758.2178870172684</v>
      </c>
      <c r="T42" s="347">
        <f>MAX($G42*'4-time of renovation'!AH41/'4-time of renovation'!$BB41+I42,0)</f>
        <v>1827.082352775097</v>
      </c>
      <c r="U42" s="347">
        <f t="shared" si="14"/>
        <v>11544.53320395224</v>
      </c>
      <c r="V42" s="347">
        <f>$G42*'4-time of renovation'!AJ41/'4-time of renovation'!$BB41</f>
        <v>1626.6797405507764</v>
      </c>
      <c r="W42" s="347">
        <f>$G42*'4-time of renovation'!AK41/'4-time of renovation'!$BB41</f>
        <v>1525.8003767956893</v>
      </c>
      <c r="X42" s="347">
        <f>$G42*'4-time of renovation'!AL41/'4-time of renovation'!$BB41</f>
        <v>445.41006114664123</v>
      </c>
      <c r="Y42" s="347">
        <f t="shared" si="15"/>
        <v>11544.53320395224</v>
      </c>
      <c r="Z42" s="473">
        <f>MAX('4-time of renovation'!AN41+SUM(H$34:H42),0)</f>
        <v>224490.96710038825</v>
      </c>
      <c r="AA42" s="473">
        <f>MAX('4-time of renovation'!AO41+SUM(I$34:I42),0)</f>
        <v>204397.58616876262</v>
      </c>
      <c r="AB42" s="473">
        <f>MAX('4-time of renovation'!AP41+SUM(J$34:J42),0)</f>
        <v>412056.8545497742</v>
      </c>
      <c r="AC42" s="473">
        <f>MAX('4-time of renovation'!AQ41+SUM(K$34:K42),0)</f>
        <v>204630.12493006088</v>
      </c>
      <c r="AD42" s="473">
        <f>MAX('4-time of renovation'!AR41+SUM(L$34:L42),0)</f>
        <v>201642.65775420706</v>
      </c>
      <c r="AE42" s="473">
        <f>MAX('4-time of renovation'!AS41+SUM(M$34:M42),0)</f>
        <v>221736.03868583281</v>
      </c>
      <c r="AF42" s="473">
        <f>MAX('4-time of renovation'!AT41+SUM(N$34:N42),0)</f>
        <v>426133.6248545954</v>
      </c>
      <c r="AG42" s="344">
        <f t="shared" si="3"/>
        <v>-251706.92607573787</v>
      </c>
      <c r="AH42" s="344">
        <f t="shared" si="4"/>
        <v>-10757619.323611546</v>
      </c>
      <c r="AI42" s="354">
        <f>GasEmissions*($AG42)+'stock-flow model'!$B10*($AH42)/1000</f>
        <v>-1453.0499015246312</v>
      </c>
      <c r="AJ42" s="344">
        <f>O42*'Appliance Stock Profile'!$B$21+P42*'Appliance Stock Profile'!$B$20+Q42*'Appliance Stock Profile'!$C$21+R42*'Appliance Stock Profile'!$C$20+J42*'Appliance Stock Profile'!$D$20</f>
        <v>0</v>
      </c>
      <c r="AK42" s="344">
        <f t="shared" si="5"/>
        <v>0</v>
      </c>
      <c r="AL42" s="354">
        <f>GasEmissions*($AG42+$AJ42)+'stock-flow model'!$B10*($AH42+$AK42)/1000</f>
        <v>-1453.0499015246312</v>
      </c>
      <c r="AM42" s="354">
        <f>MAX(GasEmissions*(SUM($AG$34:$AG42)+SUM(AJ$34:AJ42))+'stock-flow model'!$B10*(SUM($AH$34:$AH42)+SUM(AK$34:AK42))/1000,-'4-time of renovation'!BA41)</f>
        <v>-15735.743175406853</v>
      </c>
      <c r="AN42" s="474">
        <f>'4-time of renovation'!BA41+AM42</f>
        <v>531933.04568165657</v>
      </c>
      <c r="AO42" s="354">
        <f>MAX(C42+SUM(J$34:J42),0)</f>
        <v>406741.29213027487</v>
      </c>
      <c r="AP42" s="354">
        <f t="shared" si="6"/>
        <v>221503.49992453441</v>
      </c>
      <c r="AQ42" s="354">
        <f t="shared" si="7"/>
        <v>2987.4671758538461</v>
      </c>
      <c r="AR42" s="472">
        <f>IFERROR(AN42*'Housing Stock Profile'!$D$8*SUMPRODUCT('Appliance Stock Profile'!$B$20:$D$20,Z42:AB42)/('Housing Stock Profile'!$D$8*SUMPRODUCT('Appliance Stock Profile'!$B$20:$D$20,Z42:AB42)+'stock-flow model'!$B10*SUMPRODUCT(AC42:AF42,'Appliance Stock Profile'!$E$20:$H$20)/1000),0)</f>
        <v>502902.54339002387</v>
      </c>
      <c r="AS42" s="475">
        <f t="shared" si="8"/>
        <v>29030.5022916327</v>
      </c>
    </row>
    <row r="43" spans="2:45" hidden="1" x14ac:dyDescent="0.3">
      <c r="B43" s="257">
        <v>2029</v>
      </c>
      <c r="C43" s="472">
        <f>'4-time of renovation'!BB42</f>
        <v>405827.20304539916</v>
      </c>
      <c r="D43" s="472">
        <f>'4-time of renovation'!D42-'4-time of renovation'!G42</f>
        <v>397361.96080996853</v>
      </c>
      <c r="E43" s="354">
        <f>MAX(D43*(($C$5="Date Certain-Rentals Only")*RentalRate+($C$5="Date Certain-All Homes"))-SUM(G$34:G42),0)</f>
        <v>42506.39142163645</v>
      </c>
      <c r="F43" s="529">
        <f t="shared" si="9"/>
        <v>12827.259115502487</v>
      </c>
      <c r="G43" s="529">
        <f t="shared" si="2"/>
        <v>11544.53320395224</v>
      </c>
      <c r="H43" s="354">
        <f>-MAX(controls!$B$26=TRUE, controls!$B$28=TRUE)*$G43*'4-time of renovation'!AN42/'4-time of renovation'!$BB42</f>
        <v>0</v>
      </c>
      <c r="I43" s="354">
        <f>-MAX(controls!$B$27=TRUE, controls!$B$28=TRUE)*$G43*'4-time of renovation'!AO42/'4-time of renovation'!$BB42</f>
        <v>0</v>
      </c>
      <c r="J43" s="354">
        <f>-controls!$B$28*$G43</f>
        <v>0</v>
      </c>
      <c r="K43" s="354">
        <f>-H43*('4-time of renovation'!BD42/('4-time of renovation'!BD42+'4-time of renovation'!BE42))</f>
        <v>0</v>
      </c>
      <c r="L43" s="354">
        <f t="shared" si="10"/>
        <v>0</v>
      </c>
      <c r="M43" s="354">
        <f t="shared" si="11"/>
        <v>0</v>
      </c>
      <c r="N43" s="354">
        <v>0</v>
      </c>
      <c r="O43" s="344">
        <f t="shared" si="12"/>
        <v>0</v>
      </c>
      <c r="P43" s="344">
        <f>MIN(IFERROR($H43*('4-time of renovation'!$AG42+SUM(P$34:P42))/('4-time of renovation'!$Z42+'4-time of renovation'!$AG42+SUM(H$34:H42)),0),0)</f>
        <v>0</v>
      </c>
      <c r="Q43" s="344">
        <f t="shared" si="13"/>
        <v>0</v>
      </c>
      <c r="R43" s="344">
        <f>MIN(IFERROR($I43*('4-time of renovation'!$AH42+SUM(R$34:R42))/('4-time of renovation'!$AA42+'4-time of renovation'!$AH42+SUM(I$34:I42)),0),0)</f>
        <v>0</v>
      </c>
      <c r="S43" s="347">
        <f>MAX($G43*'4-time of renovation'!AG42/'4-time of renovation'!$BB42+H43,0)</f>
        <v>3325.8017099399945</v>
      </c>
      <c r="T43" s="347">
        <f>MAX($G43*'4-time of renovation'!AH42/'4-time of renovation'!$BB42+I43,0)</f>
        <v>1305.9129011566029</v>
      </c>
      <c r="U43" s="347">
        <f t="shared" si="14"/>
        <v>11544.53320395224</v>
      </c>
      <c r="V43" s="347">
        <f>$G43*'4-time of renovation'!AJ42/'4-time of renovation'!$BB42</f>
        <v>1521.6541102948941</v>
      </c>
      <c r="W43" s="347">
        <f>$G43*'4-time of renovation'!AK42/'4-time of renovation'!$BB42</f>
        <v>1427.2879639200166</v>
      </c>
      <c r="X43" s="347">
        <f>$G43*'4-time of renovation'!AL42/'4-time of renovation'!$BB42</f>
        <v>401.77197633670829</v>
      </c>
      <c r="Y43" s="347">
        <f t="shared" si="15"/>
        <v>11544.53320395224</v>
      </c>
      <c r="Z43" s="473">
        <f>MAX('4-time of renovation'!AN42+SUM(H$34:H43),0)</f>
        <v>214181.67245584878</v>
      </c>
      <c r="AA43" s="473">
        <f>MAX('4-time of renovation'!AO42+SUM(I$34:I43),0)</f>
        <v>187646.72218597797</v>
      </c>
      <c r="AB43" s="473">
        <f>MAX('4-time of renovation'!AP42+SUM(J$34:J43),0)</f>
        <v>412013.83343430865</v>
      </c>
      <c r="AC43" s="473">
        <f>MAX('4-time of renovation'!AQ42+SUM(K$34:K43),0)</f>
        <v>216215.51946880834</v>
      </c>
      <c r="AD43" s="473">
        <f>MAX('4-time of renovation'!AR42+SUM(L$34:L43),0)</f>
        <v>213552.84318565653</v>
      </c>
      <c r="AE43" s="473">
        <f>MAX('4-time of renovation'!AS42+SUM(M$34:M43),0)</f>
        <v>240087.79345552734</v>
      </c>
      <c r="AF43" s="473">
        <f>MAX('4-time of renovation'!AT42+SUM(N$34:N43),0)</f>
        <v>427734.51564150531</v>
      </c>
      <c r="AG43" s="344">
        <f t="shared" si="3"/>
        <v>-215826.14377886613</v>
      </c>
      <c r="AH43" s="344">
        <f t="shared" si="4"/>
        <v>-10712849.623032533</v>
      </c>
      <c r="AI43" s="354">
        <f>GasEmissions*($AG43)+'stock-flow model'!$B11*($AH43)/1000</f>
        <v>-1203.1325324642828</v>
      </c>
      <c r="AJ43" s="344">
        <f>O43*'Appliance Stock Profile'!$B$21+P43*'Appliance Stock Profile'!$B$20+Q43*'Appliance Stock Profile'!$C$21+R43*'Appliance Stock Profile'!$C$20+J43*'Appliance Stock Profile'!$D$20</f>
        <v>0</v>
      </c>
      <c r="AK43" s="344">
        <f t="shared" si="5"/>
        <v>0</v>
      </c>
      <c r="AL43" s="354">
        <f>GasEmissions*($AG43+$AJ43)+'stock-flow model'!$B11*($AH43+$AK43)/1000</f>
        <v>-1203.1325324642828</v>
      </c>
      <c r="AM43" s="354">
        <f>MAX(GasEmissions*(SUM($AG$34:$AG43)+SUM(AJ$34:AJ43))+'stock-flow model'!$B11*(SUM($AH$34:$AH43)+SUM(AK$34:AK43))/1000,-'4-time of renovation'!BA42)</f>
        <v>-16515.997866465474</v>
      </c>
      <c r="AN43" s="474">
        <f>'4-time of renovation'!BA42+AM43</f>
        <v>474990.44506086985</v>
      </c>
      <c r="AO43" s="354">
        <f>MAX(C43+SUM(J$34:J43),0)</f>
        <v>405827.20304539916</v>
      </c>
      <c r="AP43" s="354">
        <f t="shared" si="6"/>
        <v>211518.99617269696</v>
      </c>
      <c r="AQ43" s="354">
        <f t="shared" si="7"/>
        <v>2662.6762831518135</v>
      </c>
      <c r="AR43" s="472">
        <f>IFERROR(AN43*'Housing Stock Profile'!$D$8*SUMPRODUCT('Appliance Stock Profile'!$B$20:$D$20,Z43:AB43)/('Housing Stock Profile'!$D$8*SUMPRODUCT('Appliance Stock Profile'!$B$20:$D$20,Z43:AB43)+'stock-flow model'!$B11*SUMPRODUCT(AC43:AF43,'Appliance Stock Profile'!$E$20:$H$20)/1000),0)</f>
        <v>460613.16290520807</v>
      </c>
      <c r="AS43" s="475">
        <f t="shared" si="8"/>
        <v>14377.282155661786</v>
      </c>
    </row>
    <row r="44" spans="2:45" hidden="1" x14ac:dyDescent="0.3">
      <c r="B44" s="257">
        <v>2030</v>
      </c>
      <c r="C44" s="472">
        <f>'4-time of renovation'!BB43</f>
        <v>404919.11176697037</v>
      </c>
      <c r="D44" s="472">
        <f>'4-time of renovation'!D43-'4-time of renovation'!G43</f>
        <v>395602.58318317839</v>
      </c>
      <c r="E44" s="354">
        <f>MAX(D44*(($C$5="Date Certain-Rentals Only")*RentalRate+($C$5="Date Certain-All Homes"))-SUM(G$34:G43),0)</f>
        <v>30415.849365614049</v>
      </c>
      <c r="F44" s="529">
        <f t="shared" si="9"/>
        <v>12827.259115502487</v>
      </c>
      <c r="G44" s="529">
        <f t="shared" si="2"/>
        <v>11544.53320395224</v>
      </c>
      <c r="H44" s="354">
        <f>-MAX(controls!$B$26=TRUE, controls!$B$28=TRUE)*$G44*'4-time of renovation'!AN43/'4-time of renovation'!$BB43</f>
        <v>0</v>
      </c>
      <c r="I44" s="354">
        <f>-MAX(controls!$B$27=TRUE, controls!$B$28=TRUE)*$G44*'4-time of renovation'!AO43/'4-time of renovation'!$BB43</f>
        <v>0</v>
      </c>
      <c r="J44" s="354">
        <f>-controls!$B$28*$G44</f>
        <v>0</v>
      </c>
      <c r="K44" s="354">
        <f>-H44*('4-time of renovation'!BD43/('4-time of renovation'!BD43+'4-time of renovation'!BE43))</f>
        <v>0</v>
      </c>
      <c r="L44" s="354">
        <f t="shared" si="10"/>
        <v>0</v>
      </c>
      <c r="M44" s="354">
        <f t="shared" si="11"/>
        <v>0</v>
      </c>
      <c r="N44" s="354">
        <v>0</v>
      </c>
      <c r="O44" s="344">
        <f t="shared" si="12"/>
        <v>0</v>
      </c>
      <c r="P44" s="344">
        <f>MIN(IFERROR($H44*('4-time of renovation'!$AG43+SUM(P$34:P43))/('4-time of renovation'!$Z43+'4-time of renovation'!$AG43+SUM(H$34:H43)),0),0)</f>
        <v>0</v>
      </c>
      <c r="Q44" s="344">
        <f t="shared" si="13"/>
        <v>0</v>
      </c>
      <c r="R44" s="344">
        <f>MIN(IFERROR($I44*('4-time of renovation'!$AH43+SUM(R$34:R43))/('4-time of renovation'!$AA43+'4-time of renovation'!$AH43+SUM(I$34:I43)),0),0)</f>
        <v>0</v>
      </c>
      <c r="S44" s="347">
        <f>MAX($G44*'4-time of renovation'!AG43/'4-time of renovation'!$BB43+H44,0)</f>
        <v>2925.2649880123977</v>
      </c>
      <c r="T44" s="347">
        <f>MAX($G44*'4-time of renovation'!AH43/'4-time of renovation'!$BB43+I44,0)</f>
        <v>859.69454694448586</v>
      </c>
      <c r="U44" s="347">
        <f t="shared" si="14"/>
        <v>11544.53320395224</v>
      </c>
      <c r="V44" s="347">
        <f>$G44*'4-time of renovation'!AJ43/'4-time of renovation'!$BB43</f>
        <v>1423.3955360356138</v>
      </c>
      <c r="W44" s="347">
        <f>$G44*'4-time of renovation'!AK43/'4-time of renovation'!$BB43</f>
        <v>1335.1229446535599</v>
      </c>
      <c r="X44" s="347">
        <f>$G44*'4-time of renovation'!AL43/'4-time of renovation'!$BB43</f>
        <v>362.40570872664819</v>
      </c>
      <c r="Y44" s="347">
        <f t="shared" si="15"/>
        <v>11544.53320395224</v>
      </c>
      <c r="Z44" s="473">
        <f>MAX('4-time of renovation'!AN43+SUM(H$34:H44),0)</f>
        <v>204358.44973041519</v>
      </c>
      <c r="AA44" s="473">
        <f>MAX('4-time of renovation'!AO43+SUM(I$34:I44),0)</f>
        <v>172270.23849749216</v>
      </c>
      <c r="AB44" s="473">
        <f>MAX('4-time of renovation'!AP43+SUM(J$34:J44),0)</f>
        <v>411972.86821586441</v>
      </c>
      <c r="AC44" s="473">
        <f>MAX('4-time of renovation'!AQ43+SUM(K$34:K44),0)</f>
        <v>227349.05745494942</v>
      </c>
      <c r="AD44" s="473">
        <f>MAX('4-time of renovation'!AR43+SUM(L$34:L44),0)</f>
        <v>224976.95669800002</v>
      </c>
      <c r="AE44" s="473">
        <f>MAX('4-time of renovation'!AS43+SUM(M$34:M44),0)</f>
        <v>257065.16793092311</v>
      </c>
      <c r="AF44" s="473">
        <f>MAX('4-time of renovation'!AT43+SUM(N$34:N44),0)</f>
        <v>429335.40642841527</v>
      </c>
      <c r="AG44" s="344">
        <f t="shared" si="3"/>
        <v>-184013.18180128821</v>
      </c>
      <c r="AH44" s="344">
        <f t="shared" si="4"/>
        <v>-10671238.26068191</v>
      </c>
      <c r="AI44" s="354">
        <f>GasEmissions*($AG44)+'stock-flow model'!$B12*($AH44)/1000</f>
        <v>-975.26986354682754</v>
      </c>
      <c r="AJ44" s="344">
        <f>O44*'Appliance Stock Profile'!$B$21+P44*'Appliance Stock Profile'!$B$20+Q44*'Appliance Stock Profile'!$C$21+R44*'Appliance Stock Profile'!$C$20+J44*'Appliance Stock Profile'!$D$20</f>
        <v>0</v>
      </c>
      <c r="AK44" s="344">
        <f t="shared" si="5"/>
        <v>0</v>
      </c>
      <c r="AL44" s="354">
        <f>GasEmissions*($AG44+$AJ44)+'stock-flow model'!$B12*($AH44+$AK44)/1000</f>
        <v>-975.26986354682754</v>
      </c>
      <c r="AM44" s="354">
        <f>MAX(GasEmissions*(SUM($AG$34:$AG44)+SUM(AJ$34:AJ44))+'stock-flow model'!$B12*(SUM($AH$34:$AH44)+SUM(AK$34:AK44))/1000,-'4-time of renovation'!BA43)</f>
        <v>-17009.135918170348</v>
      </c>
      <c r="AN44" s="474">
        <f>'4-time of renovation'!BA43+AM44</f>
        <v>421429.99055482255</v>
      </c>
      <c r="AO44" s="354">
        <f>MAX(C44+SUM(J$34:J44),0)</f>
        <v>404919.11176697037</v>
      </c>
      <c r="AP44" s="354">
        <f t="shared" si="6"/>
        <v>201986.34897346579</v>
      </c>
      <c r="AQ44" s="354">
        <f t="shared" si="7"/>
        <v>2372.1007569493959</v>
      </c>
      <c r="AR44" s="472">
        <f>IFERROR(AN44*'Housing Stock Profile'!$D$8*SUMPRODUCT('Appliance Stock Profile'!$B$20:$D$20,Z44:AB44)/('Housing Stock Profile'!$D$8*SUMPRODUCT('Appliance Stock Profile'!$B$20:$D$20,Z44:AB44)+'stock-flow model'!$B12*SUMPRODUCT(AC44:AF44,'Appliance Stock Profile'!$E$20:$H$20)/1000),0)</f>
        <v>421429.99055482261</v>
      </c>
      <c r="AS44" s="475">
        <f t="shared" si="8"/>
        <v>0</v>
      </c>
    </row>
    <row r="45" spans="2:45" hidden="1" x14ac:dyDescent="0.3">
      <c r="B45" s="257">
        <v>2031</v>
      </c>
      <c r="C45" s="472">
        <f>'4-time of renovation'!BB44</f>
        <v>404016.82104900182</v>
      </c>
      <c r="D45" s="472">
        <f>'4-time of renovation'!D44-'4-time of renovation'!G44</f>
        <v>393888.1323180733</v>
      </c>
      <c r="E45" s="354">
        <f>MAX(D45*(($C$5="Date Certain-Rentals Only")*RentalRate+($C$5="Date Certain-All Homes"))-SUM(G$34:G44),0)</f>
        <v>18339.249972725112</v>
      </c>
      <c r="F45" s="529">
        <f t="shared" si="9"/>
        <v>12827.259115502487</v>
      </c>
      <c r="G45" s="529">
        <f t="shared" si="2"/>
        <v>11544.53320395224</v>
      </c>
      <c r="H45" s="354">
        <f>-MAX(controls!$B$26=TRUE, controls!$B$28=TRUE)*$G45*'4-time of renovation'!AN44/'4-time of renovation'!$BB44</f>
        <v>0</v>
      </c>
      <c r="I45" s="354">
        <f>-MAX(controls!$B$27=TRUE, controls!$B$28=TRUE)*$G45*'4-time of renovation'!AO44/'4-time of renovation'!$BB44</f>
        <v>0</v>
      </c>
      <c r="J45" s="354">
        <f>-controls!$B$28*$G45</f>
        <v>0</v>
      </c>
      <c r="K45" s="354">
        <f>-H45*('4-time of renovation'!BD44/('4-time of renovation'!BD44+'4-time of renovation'!BE44))</f>
        <v>0</v>
      </c>
      <c r="L45" s="354">
        <f t="shared" si="10"/>
        <v>0</v>
      </c>
      <c r="M45" s="354">
        <f t="shared" si="11"/>
        <v>0</v>
      </c>
      <c r="N45" s="354">
        <v>0</v>
      </c>
      <c r="O45" s="344">
        <f t="shared" si="12"/>
        <v>0</v>
      </c>
      <c r="P45" s="344">
        <f>MIN(IFERROR($H45*('4-time of renovation'!$AG44+SUM(P$34:P44))/('4-time of renovation'!$Z44+'4-time of renovation'!$AG44+SUM(H$34:H44)),0),0)</f>
        <v>0</v>
      </c>
      <c r="Q45" s="344">
        <f t="shared" si="13"/>
        <v>0</v>
      </c>
      <c r="R45" s="344">
        <f>MIN(IFERROR($I45*('4-time of renovation'!$AH44+SUM(R$34:R44))/('4-time of renovation'!$AA44+'4-time of renovation'!$AH44+SUM(I$34:I44)),0),0)</f>
        <v>0</v>
      </c>
      <c r="S45" s="347">
        <f>MAX($G45*'4-time of renovation'!AG44/'4-time of renovation'!$BB44+H45,0)</f>
        <v>2554.5598710971017</v>
      </c>
      <c r="T45" s="347">
        <f>MAX($G45*'4-time of renovation'!AH44/'4-time of renovation'!$BB44+I45,0)</f>
        <v>479.48876278090404</v>
      </c>
      <c r="U45" s="347">
        <f t="shared" si="14"/>
        <v>11544.53320395224</v>
      </c>
      <c r="V45" s="347">
        <f>$G45*'4-time of renovation'!AJ44/'4-time of renovation'!$BB44</f>
        <v>1331.4694447744116</v>
      </c>
      <c r="W45" s="347">
        <f>$G45*'4-time of renovation'!AK44/'4-time of renovation'!$BB44</f>
        <v>1248.8976962612699</v>
      </c>
      <c r="X45" s="347">
        <f>$G45*'4-time of renovation'!AL44/'4-time of renovation'!$BB44</f>
        <v>326.89356241721435</v>
      </c>
      <c r="Y45" s="347">
        <f t="shared" si="15"/>
        <v>11544.53320395224</v>
      </c>
      <c r="Z45" s="473">
        <f>MAX('4-time of renovation'!AN44+SUM(H$34:H45),0)</f>
        <v>194997.1259342698</v>
      </c>
      <c r="AA45" s="473">
        <f>MAX('4-time of renovation'!AO44+SUM(I$34:I45),0)</f>
        <v>158155.17192421242</v>
      </c>
      <c r="AB45" s="473">
        <f>MAX('4-time of renovation'!AP44+SUM(J$34:J45),0)</f>
        <v>411933.86423167412</v>
      </c>
      <c r="AC45" s="473">
        <f>MAX('4-time of renovation'!AQ44+SUM(K$34:K45),0)</f>
        <v>238051.4322657442</v>
      </c>
      <c r="AD45" s="473">
        <f>MAX('4-time of renovation'!AR44+SUM(L$34:L45),0)</f>
        <v>235939.17128105537</v>
      </c>
      <c r="AE45" s="473">
        <f>MAX('4-time of renovation'!AS44+SUM(M$34:M45),0)</f>
        <v>272781.12529111281</v>
      </c>
      <c r="AF45" s="473">
        <f>MAX('4-time of renovation'!AT44+SUM(N$34:N45),0)</f>
        <v>430936.29721532518</v>
      </c>
      <c r="AG45" s="344">
        <f t="shared" si="3"/>
        <v>-155846.13619151863</v>
      </c>
      <c r="AH45" s="344">
        <f t="shared" si="4"/>
        <v>-10632555.535844522</v>
      </c>
      <c r="AI45" s="354">
        <f>GasEmissions*($AG45)+'stock-flow model'!$B13*($AH45)/1000</f>
        <v>-825.98452181504877</v>
      </c>
      <c r="AJ45" s="344">
        <f>O45*'Appliance Stock Profile'!$B$21+P45*'Appliance Stock Profile'!$B$20+Q45*'Appliance Stock Profile'!$C$21+R45*'Appliance Stock Profile'!$C$20+J45*'Appliance Stock Profile'!$D$20</f>
        <v>0</v>
      </c>
      <c r="AK45" s="344">
        <f t="shared" si="5"/>
        <v>0</v>
      </c>
      <c r="AL45" s="354">
        <f>GasEmissions*($AG45+$AJ45)+'stock-flow model'!$B13*($AH45+$AK45)/1000</f>
        <v>-825.98452181504877</v>
      </c>
      <c r="AM45" s="354">
        <f>MAX(GasEmissions*(SUM($AG$34:$AG45)+SUM(AJ$34:AJ45))+'stock-flow model'!$B13*(SUM($AH$34:$AH45)+SUM(AK$34:AK45))/1000,-'4-time of renovation'!BA44)</f>
        <v>-17835.120439985396</v>
      </c>
      <c r="AN45" s="474">
        <f>'4-time of renovation'!BA44+AM45</f>
        <v>387699.26118685241</v>
      </c>
      <c r="AO45" s="354">
        <f>MAX(C45+SUM(J$34:J45),0)</f>
        <v>404016.82104900182</v>
      </c>
      <c r="AP45" s="354">
        <f t="shared" si="6"/>
        <v>192884.86494958098</v>
      </c>
      <c r="AQ45" s="354">
        <f t="shared" si="7"/>
        <v>2112.2609846888226</v>
      </c>
      <c r="AR45" s="472">
        <f>IFERROR(AN45*'Housing Stock Profile'!$D$8*SUMPRODUCT('Appliance Stock Profile'!$B$20:$D$20,Z45:AB45)/('Housing Stock Profile'!$D$8*SUMPRODUCT('Appliance Stock Profile'!$B$20:$D$20,Z45:AB45)+'stock-flow model'!$B13*SUMPRODUCT(AC45:AF45,'Appliance Stock Profile'!$E$20:$H$20)/1000),0)</f>
        <v>387699.26118685241</v>
      </c>
      <c r="AS45" s="475">
        <f t="shared" si="8"/>
        <v>0</v>
      </c>
    </row>
    <row r="46" spans="2:45" hidden="1" x14ac:dyDescent="0.3">
      <c r="B46" s="257">
        <v>2032</v>
      </c>
      <c r="C46" s="472">
        <f>'4-time of renovation'!BB45</f>
        <v>403120.14254042518</v>
      </c>
      <c r="D46" s="472">
        <f>'4-time of renovation'!D45-'4-time of renovation'!G45</f>
        <v>392216.62157370825</v>
      </c>
      <c r="E46" s="354">
        <f>MAX(D46*(($C$5="Date Certain-Rentals Only")*RentalRate+($C$5="Date Certain-All Homes"))-SUM(G$34:G45),0)</f>
        <v>6275.9767047544447</v>
      </c>
      <c r="F46" s="529">
        <f t="shared" si="9"/>
        <v>12827.259115502487</v>
      </c>
      <c r="G46" s="529">
        <f t="shared" si="2"/>
        <v>6275.9767047544447</v>
      </c>
      <c r="H46" s="354">
        <f>-MAX(controls!$B$26=TRUE, controls!$B$28=TRUE)*$G46*'4-time of renovation'!AN45/'4-time of renovation'!$BB45</f>
        <v>0</v>
      </c>
      <c r="I46" s="354">
        <f>-MAX(controls!$B$27=TRUE, controls!$B$28=TRUE)*$G46*'4-time of renovation'!AO45/'4-time of renovation'!$BB45</f>
        <v>0</v>
      </c>
      <c r="J46" s="354">
        <f>-controls!$B$28*$G46</f>
        <v>0</v>
      </c>
      <c r="K46" s="354">
        <f>-H46*('4-time of renovation'!BD45/('4-time of renovation'!BD45+'4-time of renovation'!BE45))</f>
        <v>0</v>
      </c>
      <c r="L46" s="354">
        <f t="shared" si="10"/>
        <v>0</v>
      </c>
      <c r="M46" s="354">
        <f t="shared" si="11"/>
        <v>0</v>
      </c>
      <c r="N46" s="354">
        <v>0</v>
      </c>
      <c r="O46" s="344">
        <f t="shared" si="12"/>
        <v>0</v>
      </c>
      <c r="P46" s="344">
        <f>MIN(IFERROR($H46*('4-time of renovation'!$AG45+SUM(P$34:P45))/('4-time of renovation'!$Z45+'4-time of renovation'!$AG45+SUM(H$34:H45)),0),0)</f>
        <v>0</v>
      </c>
      <c r="Q46" s="344">
        <f t="shared" si="13"/>
        <v>0</v>
      </c>
      <c r="R46" s="344">
        <f>MIN(IFERROR($I46*('4-time of renovation'!$AH45+SUM(R$34:R45))/('4-time of renovation'!$AA45+'4-time of renovation'!$AH45+SUM(I$34:I45)),0),0)</f>
        <v>0</v>
      </c>
      <c r="S46" s="347">
        <f>MAX($G46*'4-time of renovation'!AG45/'4-time of renovation'!$BB45+H46,0)</f>
        <v>1202.3855871164731</v>
      </c>
      <c r="T46" s="347">
        <f>MAX($G46*'4-time of renovation'!AH45/'4-time of renovation'!$BB45+I46,0)</f>
        <v>85.530407058711319</v>
      </c>
      <c r="U46" s="347">
        <f t="shared" si="14"/>
        <v>6275.9767047544447</v>
      </c>
      <c r="V46" s="347">
        <f>$G46*'4-time of renovation'!AJ45/'4-time of renovation'!$BB45</f>
        <v>677.07670968450896</v>
      </c>
      <c r="W46" s="347">
        <f>$G46*'4-time of renovation'!AK45/'4-time of renovation'!$BB45</f>
        <v>635.08745637074082</v>
      </c>
      <c r="X46" s="347">
        <f>$G46*'4-time of renovation'!AL45/'4-time of renovation'!$BB45</f>
        <v>160.29455544755734</v>
      </c>
      <c r="Y46" s="347">
        <f t="shared" si="15"/>
        <v>6275.9767047544447</v>
      </c>
      <c r="Z46" s="473">
        <f>MAX('4-time of renovation'!AN45+SUM(H$34:H46),0)</f>
        <v>186074.84801642655</v>
      </c>
      <c r="AA46" s="473">
        <f>MAX('4-time of renovation'!AO45+SUM(I$34:I46),0)</f>
        <v>145197.87008272533</v>
      </c>
      <c r="AB46" s="473">
        <f>MAX('4-time of renovation'!AP45+SUM(J$34:J46),0)</f>
        <v>411896.73117016401</v>
      </c>
      <c r="AC46" s="473">
        <f>MAX('4-time of renovation'!AQ45+SUM(K$34:K46),0)</f>
        <v>248342.35528276957</v>
      </c>
      <c r="AD46" s="473">
        <f>MAX('4-time of renovation'!AR45+SUM(L$34:L46),0)</f>
        <v>246462.3399858085</v>
      </c>
      <c r="AE46" s="473">
        <f>MAX('4-time of renovation'!AS45+SUM(M$34:M46),0)</f>
        <v>287339.31791950978</v>
      </c>
      <c r="AF46" s="473">
        <f>MAX('4-time of renovation'!AT45+SUM(N$34:N46),0)</f>
        <v>432537.18800223514</v>
      </c>
      <c r="AG46" s="344">
        <f t="shared" si="3"/>
        <v>-71186.196476534416</v>
      </c>
      <c r="AH46" s="344">
        <f t="shared" si="4"/>
        <v>-5760644.0145381866</v>
      </c>
      <c r="AI46" s="354">
        <f>GasEmissions*($AG46)+'stock-flow model'!$B14*($AH46)/1000</f>
        <v>-377.28684132563239</v>
      </c>
      <c r="AJ46" s="344">
        <f>O46*'Appliance Stock Profile'!$B$21+P46*'Appliance Stock Profile'!$B$20+Q46*'Appliance Stock Profile'!$C$21+R46*'Appliance Stock Profile'!$C$20+J46*'Appliance Stock Profile'!$D$20</f>
        <v>0</v>
      </c>
      <c r="AK46" s="344">
        <f t="shared" si="5"/>
        <v>0</v>
      </c>
      <c r="AL46" s="354">
        <f>GasEmissions*($AG46+$AJ46)+'stock-flow model'!$B14*($AH46+$AK46)/1000</f>
        <v>-377.28684132563239</v>
      </c>
      <c r="AM46" s="354">
        <f>MAX(GasEmissions*(SUM($AG$34:$AG46)+SUM(AJ$34:AJ46))+'stock-flow model'!$B14*(SUM($AH$34:$AH46)+SUM(AK$34:AK46))/1000,-'4-time of renovation'!BA45)</f>
        <v>-18212.407281311029</v>
      </c>
      <c r="AN46" s="474">
        <f>'4-time of renovation'!BA45+AM46</f>
        <v>357307.29243019543</v>
      </c>
      <c r="AO46" s="354">
        <f>MAX(C46+SUM(J$34:J46),0)</f>
        <v>403120.14254042518</v>
      </c>
      <c r="AP46" s="354">
        <f t="shared" si="6"/>
        <v>184194.83271946546</v>
      </c>
      <c r="AQ46" s="354">
        <f t="shared" si="7"/>
        <v>1880.0152969610936</v>
      </c>
      <c r="AR46" s="472">
        <f>IFERROR(AN46*'Housing Stock Profile'!$D$8*SUMPRODUCT('Appliance Stock Profile'!$B$20:$D$20,Z46:AB46)/('Housing Stock Profile'!$D$8*SUMPRODUCT('Appliance Stock Profile'!$B$20:$D$20,Z46:AB46)+'stock-flow model'!$B14*SUMPRODUCT(AC46:AF46,'Appliance Stock Profile'!$E$20:$H$20)/1000),0)</f>
        <v>357307.29243019543</v>
      </c>
      <c r="AS46" s="475">
        <f t="shared" si="8"/>
        <v>0</v>
      </c>
    </row>
    <row r="47" spans="2:45" hidden="1" x14ac:dyDescent="0.3">
      <c r="B47" s="257">
        <v>2033</v>
      </c>
      <c r="C47" s="472">
        <f>'4-time of renovation'!BB46</f>
        <v>402228.89637664013</v>
      </c>
      <c r="D47" s="472">
        <f>'4-time of renovation'!D46-'4-time of renovation'!G46</f>
        <v>390586.15544729208</v>
      </c>
      <c r="E47" s="354">
        <f>MAX(D47*(($C$5="Date Certain-Rentals Only")*RentalRate+($C$5="Date Certain-All Homes"))-SUM(G$34:G46),0)</f>
        <v>0</v>
      </c>
      <c r="F47" s="529">
        <f t="shared" si="9"/>
        <v>12827.259115502487</v>
      </c>
      <c r="G47" s="529">
        <f t="shared" si="2"/>
        <v>0</v>
      </c>
      <c r="H47" s="354">
        <f>-MAX(controls!$B$26=TRUE, controls!$B$28=TRUE)*$G47*'4-time of renovation'!AN46/'4-time of renovation'!$BB46</f>
        <v>0</v>
      </c>
      <c r="I47" s="354">
        <f>-MAX(controls!$B$27=TRUE, controls!$B$28=TRUE)*$G47*'4-time of renovation'!AO46/'4-time of renovation'!$BB46</f>
        <v>0</v>
      </c>
      <c r="J47" s="354">
        <f>-controls!$B$28*$G47</f>
        <v>0</v>
      </c>
      <c r="K47" s="354">
        <f>-H47*('4-time of renovation'!BD46/('4-time of renovation'!BD46+'4-time of renovation'!BE46))</f>
        <v>0</v>
      </c>
      <c r="L47" s="354">
        <f t="shared" si="10"/>
        <v>0</v>
      </c>
      <c r="M47" s="354">
        <f t="shared" si="11"/>
        <v>0</v>
      </c>
      <c r="N47" s="354">
        <v>0</v>
      </c>
      <c r="O47" s="344">
        <f t="shared" si="12"/>
        <v>0</v>
      </c>
      <c r="P47" s="344">
        <f>MIN(IFERROR($H47*('4-time of renovation'!$AG46+SUM(P$34:P46))/('4-time of renovation'!$Z46+'4-time of renovation'!$AG46+SUM(H$34:H46)),0),0)</f>
        <v>0</v>
      </c>
      <c r="Q47" s="344">
        <f t="shared" si="13"/>
        <v>0</v>
      </c>
      <c r="R47" s="344">
        <f>MIN(IFERROR($I47*('4-time of renovation'!$AH46+SUM(R$34:R46))/('4-time of renovation'!$AA46+'4-time of renovation'!$AH46+SUM(I$34:I46)),0),0)</f>
        <v>0</v>
      </c>
      <c r="S47" s="347">
        <f>MAX($G47*'4-time of renovation'!AG46/'4-time of renovation'!$BB46+H47,0)</f>
        <v>0</v>
      </c>
      <c r="T47" s="347">
        <f>MAX($G47*'4-time of renovation'!AH46/'4-time of renovation'!$BB46+I47,0)</f>
        <v>0</v>
      </c>
      <c r="U47" s="347">
        <f t="shared" si="14"/>
        <v>0</v>
      </c>
      <c r="V47" s="347">
        <f>$G47*'4-time of renovation'!AJ46/'4-time of renovation'!$BB46</f>
        <v>0</v>
      </c>
      <c r="W47" s="347">
        <f>$G47*'4-time of renovation'!AK46/'4-time of renovation'!$BB46</f>
        <v>0</v>
      </c>
      <c r="X47" s="347">
        <f>$G47*'4-time of renovation'!AL46/'4-time of renovation'!$BB46</f>
        <v>0</v>
      </c>
      <c r="Y47" s="347">
        <f t="shared" si="15"/>
        <v>0</v>
      </c>
      <c r="Z47" s="473">
        <f>MAX('4-time of renovation'!AN46+SUM(H$34:H47),0)</f>
        <v>177570.00088608806</v>
      </c>
      <c r="AA47" s="473">
        <f>MAX('4-time of renovation'!AO46+SUM(I$34:I47),0)</f>
        <v>137638.82434394787</v>
      </c>
      <c r="AB47" s="473">
        <f>MAX('4-time of renovation'!AP46+SUM(J$34:J47),0)</f>
        <v>411861.38287096674</v>
      </c>
      <c r="AC47" s="473">
        <f>MAX('4-time of renovation'!AQ46+SUM(K$34:K47),0)</f>
        <v>258240.60731571575</v>
      </c>
      <c r="AD47" s="473">
        <f>MAX('4-time of renovation'!AR46+SUM(L$34:L47),0)</f>
        <v>256568.07790305692</v>
      </c>
      <c r="AE47" s="473">
        <f>MAX('4-time of renovation'!AS46+SUM(M$34:M47),0)</f>
        <v>300834.85828163917</v>
      </c>
      <c r="AF47" s="473">
        <f>MAX('4-time of renovation'!AT46+SUM(N$34:N47),0)</f>
        <v>434138.07878914505</v>
      </c>
      <c r="AG47" s="344">
        <f t="shared" si="3"/>
        <v>0</v>
      </c>
      <c r="AH47" s="344">
        <f t="shared" si="4"/>
        <v>0</v>
      </c>
      <c r="AI47" s="354">
        <f>GasEmissions*($AG47)+'stock-flow model'!$B15*($AH47)/1000</f>
        <v>0</v>
      </c>
      <c r="AJ47" s="344">
        <f>O47*'Appliance Stock Profile'!$B$21+P47*'Appliance Stock Profile'!$B$20+Q47*'Appliance Stock Profile'!$C$21+R47*'Appliance Stock Profile'!$C$20+J47*'Appliance Stock Profile'!$D$20</f>
        <v>0</v>
      </c>
      <c r="AK47" s="344">
        <f t="shared" si="5"/>
        <v>0</v>
      </c>
      <c r="AL47" s="354">
        <f>GasEmissions*($AG47+$AJ47)+'stock-flow model'!$B15*($AH47+$AK47)/1000</f>
        <v>0</v>
      </c>
      <c r="AM47" s="354">
        <f>MAX(GasEmissions*(SUM($AG$34:$AG47)+SUM(AJ$34:AJ47))+'stock-flow model'!$B15*(SUM($AH$34:$AH47)+SUM(AK$34:AK47))/1000,-'4-time of renovation'!BA46)</f>
        <v>-18212.407281311029</v>
      </c>
      <c r="AN47" s="474">
        <f>'4-time of renovation'!BA46+AM47</f>
        <v>329710.12934554811</v>
      </c>
      <c r="AO47" s="354">
        <f>MAX(C47+SUM(J$34:J47),0)</f>
        <v>402228.89637664013</v>
      </c>
      <c r="AP47" s="354">
        <f t="shared" si="6"/>
        <v>175897.47147342924</v>
      </c>
      <c r="AQ47" s="354">
        <f t="shared" si="7"/>
        <v>1672.5294126588269</v>
      </c>
      <c r="AR47" s="472">
        <f>IFERROR(AN47*'Housing Stock Profile'!$D$8*SUMPRODUCT('Appliance Stock Profile'!$B$20:$D$20,Z47:AB47)/('Housing Stock Profile'!$D$8*SUMPRODUCT('Appliance Stock Profile'!$B$20:$D$20,Z47:AB47)+'stock-flow model'!$B15*SUMPRODUCT(AC47:AF47,'Appliance Stock Profile'!$E$20:$H$20)/1000),0)</f>
        <v>329710.12934554816</v>
      </c>
      <c r="AS47" s="475">
        <f t="shared" si="8"/>
        <v>0</v>
      </c>
    </row>
    <row r="48" spans="2:45" hidden="1" x14ac:dyDescent="0.3">
      <c r="B48" s="257">
        <v>2034</v>
      </c>
      <c r="C48" s="472">
        <f>'4-time of renovation'!BB47</f>
        <v>401342.91078983666</v>
      </c>
      <c r="D48" s="472">
        <f>'4-time of renovation'!D47-'4-time of renovation'!G47</f>
        <v>388994.92538573296</v>
      </c>
      <c r="E48" s="354">
        <f>MAX(D48*(($C$5="Date Certain-Rentals Only")*RentalRate+($C$5="Date Certain-All Homes"))-SUM(G$34:G47),0)</f>
        <v>0</v>
      </c>
      <c r="F48" s="529">
        <f t="shared" si="9"/>
        <v>0</v>
      </c>
      <c r="G48" s="529">
        <f t="shared" si="2"/>
        <v>0</v>
      </c>
      <c r="H48" s="354">
        <f>-MAX(controls!$B$26=TRUE, controls!$B$28=TRUE)*$G48*'4-time of renovation'!AN47/'4-time of renovation'!$BB47</f>
        <v>0</v>
      </c>
      <c r="I48" s="354">
        <f>-MAX(controls!$B$27=TRUE, controls!$B$28=TRUE)*$G48*'4-time of renovation'!AO47/'4-time of renovation'!$BB47</f>
        <v>0</v>
      </c>
      <c r="J48" s="354">
        <f>-controls!$B$28*$G48</f>
        <v>0</v>
      </c>
      <c r="K48" s="354">
        <f>-H48*('4-time of renovation'!BD47/('4-time of renovation'!BD47+'4-time of renovation'!BE47))</f>
        <v>0</v>
      </c>
      <c r="L48" s="354">
        <f t="shared" si="10"/>
        <v>0</v>
      </c>
      <c r="M48" s="354">
        <f t="shared" si="11"/>
        <v>0</v>
      </c>
      <c r="N48" s="354">
        <v>0</v>
      </c>
      <c r="O48" s="344">
        <f t="shared" si="12"/>
        <v>0</v>
      </c>
      <c r="P48" s="344">
        <f>MIN(IFERROR($H48*('4-time of renovation'!$AG47+SUM(P$34:P47))/('4-time of renovation'!$Z47+'4-time of renovation'!$AG47+SUM(H$34:H47)),0),0)</f>
        <v>0</v>
      </c>
      <c r="Q48" s="344">
        <f t="shared" si="13"/>
        <v>0</v>
      </c>
      <c r="R48" s="344">
        <f>MIN(IFERROR($I48*('4-time of renovation'!$AH47+SUM(R$34:R47))/('4-time of renovation'!$AA47+'4-time of renovation'!$AH47+SUM(I$34:I47)),0),0)</f>
        <v>0</v>
      </c>
      <c r="S48" s="347">
        <f>MAX($G48*'4-time of renovation'!AG47/'4-time of renovation'!$BB47+H48,0)</f>
        <v>0</v>
      </c>
      <c r="T48" s="347">
        <f>MAX($G48*'4-time of renovation'!AH47/'4-time of renovation'!$BB47+I48,0)</f>
        <v>0</v>
      </c>
      <c r="U48" s="347">
        <f t="shared" si="14"/>
        <v>0</v>
      </c>
      <c r="V48" s="347">
        <f>$G48*'4-time of renovation'!AJ47/'4-time of renovation'!$BB47</f>
        <v>0</v>
      </c>
      <c r="W48" s="347">
        <f>$G48*'4-time of renovation'!AK47/'4-time of renovation'!$BB47</f>
        <v>0</v>
      </c>
      <c r="X48" s="347">
        <f>$G48*'4-time of renovation'!AL47/'4-time of renovation'!$BB47</f>
        <v>0</v>
      </c>
      <c r="Y48" s="347">
        <f t="shared" si="15"/>
        <v>0</v>
      </c>
      <c r="Z48" s="473">
        <f>MAX('4-time of renovation'!AN47+SUM(H$34:H48),0)</f>
        <v>169462.13119758095</v>
      </c>
      <c r="AA48" s="473">
        <f>MAX('4-time of renovation'!AO47+SUM(I$34:I48),0)</f>
        <v>135660.52993266087</v>
      </c>
      <c r="AB48" s="473">
        <f>MAX('4-time of renovation'!AP47+SUM(J$34:J48),0)</f>
        <v>411827.73713412567</v>
      </c>
      <c r="AC48" s="473">
        <f>MAX('4-time of renovation'!AQ47+SUM(K$34:K48),0)</f>
        <v>267764.08666675433</v>
      </c>
      <c r="AD48" s="473">
        <f>MAX('4-time of renovation'!AR47+SUM(L$34:L48),0)</f>
        <v>266276.83837847394</v>
      </c>
      <c r="AE48" s="473">
        <f>MAX('4-time of renovation'!AS47+SUM(M$34:M48),0)</f>
        <v>313355.02552409458</v>
      </c>
      <c r="AF48" s="473">
        <f>MAX('4-time of renovation'!AT47+SUM(N$34:N48),0)</f>
        <v>435738.96957605501</v>
      </c>
      <c r="AG48" s="344">
        <f t="shared" si="3"/>
        <v>0</v>
      </c>
      <c r="AH48" s="344">
        <f t="shared" si="4"/>
        <v>0</v>
      </c>
      <c r="AI48" s="354">
        <f>GasEmissions*($AG48)+'stock-flow model'!$B16*($AH48)/1000</f>
        <v>0</v>
      </c>
      <c r="AJ48" s="344">
        <f>O48*'Appliance Stock Profile'!$B$21+P48*'Appliance Stock Profile'!$B$20+Q48*'Appliance Stock Profile'!$C$21+R48*'Appliance Stock Profile'!$C$20+J48*'Appliance Stock Profile'!$D$20</f>
        <v>0</v>
      </c>
      <c r="AK48" s="344">
        <f t="shared" si="5"/>
        <v>0</v>
      </c>
      <c r="AL48" s="354">
        <f>GasEmissions*($AG48+$AJ48)+'stock-flow model'!$B16*($AH48+$AK48)/1000</f>
        <v>0</v>
      </c>
      <c r="AM48" s="354">
        <f>MAX(GasEmissions*(SUM($AG$34:$AG48)+SUM(AJ$34:AJ48))+'stock-flow model'!$B16*(SUM($AH$34:$AH48)+SUM(AK$34:AK48))/1000,-'4-time of renovation'!BA47)</f>
        <v>-18212.407281311029</v>
      </c>
      <c r="AN48" s="474">
        <f>'4-time of renovation'!BA47+AM48</f>
        <v>304093.43515367858</v>
      </c>
      <c r="AO48" s="354">
        <f>MAX(C48+SUM(J$34:J48),0)</f>
        <v>401342.91078983666</v>
      </c>
      <c r="AP48" s="354">
        <f t="shared" si="6"/>
        <v>167974.88290930056</v>
      </c>
      <c r="AQ48" s="354">
        <f t="shared" si="7"/>
        <v>1487.2482882803888</v>
      </c>
      <c r="AR48" s="472">
        <f>IFERROR(AN48*'Housing Stock Profile'!$D$8*SUMPRODUCT('Appliance Stock Profile'!$B$20:$D$20,Z48:AB48)/('Housing Stock Profile'!$D$8*SUMPRODUCT('Appliance Stock Profile'!$B$20:$D$20,Z48:AB48)+'stock-flow model'!$B16*SUMPRODUCT(AC48:AF48,'Appliance Stock Profile'!$E$20:$H$20)/1000),0)</f>
        <v>304093.43515367858</v>
      </c>
      <c r="AS48" s="475">
        <f t="shared" si="8"/>
        <v>0</v>
      </c>
    </row>
    <row r="49" spans="2:45" hidden="1" x14ac:dyDescent="0.3">
      <c r="B49" s="257">
        <v>2035</v>
      </c>
      <c r="C49" s="472">
        <f>'4-time of renovation'!BB48</f>
        <v>400462.02173722681</v>
      </c>
      <c r="D49" s="472">
        <f>'4-time of renovation'!D48-'4-time of renovation'!G48</f>
        <v>387441.20578969026</v>
      </c>
      <c r="E49" s="354">
        <f>MAX(D49*(($C$5="Date Certain-Rentals Only")*RentalRate+($C$5="Date Certain-All Homes"))-SUM(G$34:G48),0)</f>
        <v>0</v>
      </c>
      <c r="F49" s="529">
        <f t="shared" si="9"/>
        <v>0</v>
      </c>
      <c r="G49" s="529">
        <f t="shared" si="2"/>
        <v>0</v>
      </c>
      <c r="H49" s="354">
        <f>-MAX(controls!$B$26=TRUE, controls!$B$28=TRUE)*$G49*'4-time of renovation'!AN48/'4-time of renovation'!$BB48</f>
        <v>0</v>
      </c>
      <c r="I49" s="354">
        <f>-MAX(controls!$B$27=TRUE, controls!$B$28=TRUE)*$G49*'4-time of renovation'!AO48/'4-time of renovation'!$BB48</f>
        <v>0</v>
      </c>
      <c r="J49" s="354">
        <f>-controls!$B$28*$G49</f>
        <v>0</v>
      </c>
      <c r="K49" s="354">
        <f>-H49*('4-time of renovation'!BD48/('4-time of renovation'!BD48+'4-time of renovation'!BE48))</f>
        <v>0</v>
      </c>
      <c r="L49" s="354">
        <f t="shared" si="10"/>
        <v>0</v>
      </c>
      <c r="M49" s="354">
        <f t="shared" si="11"/>
        <v>0</v>
      </c>
      <c r="N49" s="354">
        <v>0</v>
      </c>
      <c r="O49" s="344">
        <f t="shared" si="12"/>
        <v>0</v>
      </c>
      <c r="P49" s="344">
        <f>MIN(IFERROR($H49*('4-time of renovation'!$AG48+SUM(P$34:P48))/('4-time of renovation'!$Z48+'4-time of renovation'!$AG48+SUM(H$34:H48)),0),0)</f>
        <v>0</v>
      </c>
      <c r="Q49" s="344">
        <f t="shared" si="13"/>
        <v>0</v>
      </c>
      <c r="R49" s="344">
        <f>MIN(IFERROR($I49*('4-time of renovation'!$AH48+SUM(R$34:R48))/('4-time of renovation'!$AA48+'4-time of renovation'!$AH48+SUM(I$34:I48)),0),0)</f>
        <v>0</v>
      </c>
      <c r="S49" s="347">
        <f>MAX($G49*'4-time of renovation'!AG48/'4-time of renovation'!$BB48+H49,0)</f>
        <v>0</v>
      </c>
      <c r="T49" s="347">
        <f>MAX($G49*'4-time of renovation'!AH48/'4-time of renovation'!$BB48+I49,0)</f>
        <v>0</v>
      </c>
      <c r="U49" s="347">
        <f t="shared" si="14"/>
        <v>0</v>
      </c>
      <c r="V49" s="347">
        <f>$G49*'4-time of renovation'!AJ48/'4-time of renovation'!$BB48</f>
        <v>0</v>
      </c>
      <c r="W49" s="347">
        <f>$G49*'4-time of renovation'!AK48/'4-time of renovation'!$BB48</f>
        <v>0</v>
      </c>
      <c r="X49" s="347">
        <f>$G49*'4-time of renovation'!AL48/'4-time of renovation'!$BB48</f>
        <v>0</v>
      </c>
      <c r="Y49" s="347">
        <f t="shared" si="15"/>
        <v>0</v>
      </c>
      <c r="Z49" s="473">
        <f>MAX('4-time of renovation'!AN48+SUM(H$34:H49),0)</f>
        <v>161731.87646794468</v>
      </c>
      <c r="AA49" s="473">
        <f>MAX('4-time of renovation'!AO48+SUM(I$34:I49),0)</f>
        <v>133764.02184650721</v>
      </c>
      <c r="AB49" s="473">
        <f>MAX('4-time of renovation'!AP48+SUM(J$34:J49),0)</f>
        <v>411795.71553806891</v>
      </c>
      <c r="AC49" s="473">
        <f>MAX('4-time of renovation'!AQ48+SUM(K$34:K49),0)</f>
        <v>276929.8541407655</v>
      </c>
      <c r="AD49" s="473">
        <f>MAX('4-time of renovation'!AR48+SUM(L$34:L49),0)</f>
        <v>275607.98389502021</v>
      </c>
      <c r="AE49" s="473">
        <f>MAX('4-time of renovation'!AS48+SUM(M$34:M49),0)</f>
        <v>324979.91321412212</v>
      </c>
      <c r="AF49" s="473">
        <f>MAX('4-time of renovation'!AT48+SUM(N$34:N49),0)</f>
        <v>437339.86036296492</v>
      </c>
      <c r="AG49" s="344">
        <f t="shared" si="3"/>
        <v>0</v>
      </c>
      <c r="AH49" s="344">
        <f t="shared" si="4"/>
        <v>0</v>
      </c>
      <c r="AI49" s="354">
        <f>GasEmissions*($AG49)+'stock-flow model'!$B17*($AH49)/1000</f>
        <v>0</v>
      </c>
      <c r="AJ49" s="344">
        <f>O49*'Appliance Stock Profile'!$B$21+P49*'Appliance Stock Profile'!$B$20+Q49*'Appliance Stock Profile'!$C$21+R49*'Appliance Stock Profile'!$C$20+J49*'Appliance Stock Profile'!$D$20</f>
        <v>0</v>
      </c>
      <c r="AK49" s="344">
        <f t="shared" si="5"/>
        <v>0</v>
      </c>
      <c r="AL49" s="354">
        <f>GasEmissions*($AG49+$AJ49)+'stock-flow model'!$B17*($AH49+$AK49)/1000</f>
        <v>0</v>
      </c>
      <c r="AM49" s="354">
        <f>MAX(GasEmissions*(SUM($AG$34:$AG49)+SUM(AJ$34:AJ49))+'stock-flow model'!$B17*(SUM($AH$34:$AH49)+SUM(AK$34:AK49))/1000,-'4-time of renovation'!BA48)</f>
        <v>-18212.407281311029</v>
      </c>
      <c r="AN49" s="474">
        <f>'4-time of renovation'!BA48+AM49</f>
        <v>280307.20960714767</v>
      </c>
      <c r="AO49" s="354">
        <f>MAX(C49+SUM(J$34:J49),0)</f>
        <v>400462.02173722681</v>
      </c>
      <c r="AP49" s="354">
        <f t="shared" si="6"/>
        <v>160410.00622219942</v>
      </c>
      <c r="AQ49" s="354">
        <f t="shared" si="7"/>
        <v>1321.87024574526</v>
      </c>
      <c r="AR49" s="472">
        <f>IFERROR(AN49*'Housing Stock Profile'!$D$8*SUMPRODUCT('Appliance Stock Profile'!$B$20:$D$20,Z49:AB49)/('Housing Stock Profile'!$D$8*SUMPRODUCT('Appliance Stock Profile'!$B$20:$D$20,Z49:AB49)+'stock-flow model'!$B17*SUMPRODUCT(AC49:AF49,'Appliance Stock Profile'!$E$20:$H$20)/1000),0)</f>
        <v>280307.20960714767</v>
      </c>
      <c r="AS49" s="475">
        <f t="shared" si="8"/>
        <v>0</v>
      </c>
    </row>
    <row r="50" spans="2:45" hidden="1" x14ac:dyDescent="0.3">
      <c r="B50" s="257">
        <v>2036</v>
      </c>
      <c r="C50" s="472">
        <f>'4-time of renovation'!BB49</f>
        <v>399586.07254636177</v>
      </c>
      <c r="D50" s="472">
        <f>'4-time of renovation'!D49-'4-time of renovation'!G49</f>
        <v>385923.35020128445</v>
      </c>
      <c r="E50" s="354">
        <f>MAX(D50*(($C$5="Date Certain-Rentals Only")*RentalRate+($C$5="Date Certain-All Homes"))-SUM(G$34:G49),0)</f>
        <v>0</v>
      </c>
      <c r="F50" s="529">
        <f t="shared" si="9"/>
        <v>0</v>
      </c>
      <c r="G50" s="529">
        <f t="shared" si="2"/>
        <v>0</v>
      </c>
      <c r="H50" s="354">
        <f>-MAX(controls!$B$26=TRUE, controls!$B$28=TRUE)*$G50*'4-time of renovation'!AN49/'4-time of renovation'!$BB49</f>
        <v>0</v>
      </c>
      <c r="I50" s="354">
        <f>-MAX(controls!$B$27=TRUE, controls!$B$28=TRUE)*$G50*'4-time of renovation'!AO49/'4-time of renovation'!$BB49</f>
        <v>0</v>
      </c>
      <c r="J50" s="354">
        <f>-controls!$B$28*$G50</f>
        <v>0</v>
      </c>
      <c r="K50" s="354">
        <f>-H50*('4-time of renovation'!BD49/('4-time of renovation'!BD49+'4-time of renovation'!BE49))</f>
        <v>0</v>
      </c>
      <c r="L50" s="354">
        <f t="shared" si="10"/>
        <v>0</v>
      </c>
      <c r="M50" s="354">
        <f t="shared" si="11"/>
        <v>0</v>
      </c>
      <c r="N50" s="354">
        <v>0</v>
      </c>
      <c r="O50" s="344">
        <f t="shared" si="12"/>
        <v>0</v>
      </c>
      <c r="P50" s="344">
        <f>MIN(IFERROR($H50*('4-time of renovation'!$AG49+SUM(P$34:P49))/('4-time of renovation'!$Z49+'4-time of renovation'!$AG49+SUM(H$34:H49)),0),0)</f>
        <v>0</v>
      </c>
      <c r="Q50" s="344">
        <f t="shared" si="13"/>
        <v>0</v>
      </c>
      <c r="R50" s="344">
        <f>MIN(IFERROR($I50*('4-time of renovation'!$AH49+SUM(R$34:R49))/('4-time of renovation'!$AA49+'4-time of renovation'!$AH49+SUM(I$34:I49)),0),0)</f>
        <v>0</v>
      </c>
      <c r="S50" s="347">
        <f>MAX($G50*'4-time of renovation'!AG49/'4-time of renovation'!$BB49+H50,0)</f>
        <v>0</v>
      </c>
      <c r="T50" s="347">
        <f>MAX($G50*'4-time of renovation'!AH49/'4-time of renovation'!$BB49+I50,0)</f>
        <v>0</v>
      </c>
      <c r="U50" s="347">
        <f t="shared" si="14"/>
        <v>0</v>
      </c>
      <c r="V50" s="347">
        <f>$G50*'4-time of renovation'!AJ49/'4-time of renovation'!$BB49</f>
        <v>0</v>
      </c>
      <c r="W50" s="347">
        <f>$G50*'4-time of renovation'!AK49/'4-time of renovation'!$BB49</f>
        <v>0</v>
      </c>
      <c r="X50" s="347">
        <f>$G50*'4-time of renovation'!AL49/'4-time of renovation'!$BB49</f>
        <v>0</v>
      </c>
      <c r="Y50" s="347">
        <f t="shared" si="15"/>
        <v>0</v>
      </c>
      <c r="Z50" s="473">
        <f>MAX('4-time of renovation'!AN49+SUM(H$34:H50),0)</f>
        <v>154360.89912656031</v>
      </c>
      <c r="AA50" s="473">
        <f>MAX('4-time of renovation'!AO49+SUM(I$34:I50),0)</f>
        <v>131949.84148415763</v>
      </c>
      <c r="AB50" s="473">
        <f>MAX('4-time of renovation'!AP49+SUM(J$34:J50),0)</f>
        <v>411765.2432659489</v>
      </c>
      <c r="AC50" s="473">
        <f>MAX('4-time of renovation'!AQ49+SUM(K$34:K50),0)</f>
        <v>285754.17526968045</v>
      </c>
      <c r="AD50" s="473">
        <f>MAX('4-time of renovation'!AR49+SUM(L$34:L50),0)</f>
        <v>284579.85202331451</v>
      </c>
      <c r="AE50" s="473">
        <f>MAX('4-time of renovation'!AS49+SUM(M$34:M50),0)</f>
        <v>335783.02317460848</v>
      </c>
      <c r="AF50" s="473">
        <f>MAX('4-time of renovation'!AT49+SUM(N$34:N50),0)</f>
        <v>438940.75114987488</v>
      </c>
      <c r="AG50" s="344">
        <f t="shared" si="3"/>
        <v>0</v>
      </c>
      <c r="AH50" s="344">
        <f t="shared" si="4"/>
        <v>0</v>
      </c>
      <c r="AI50" s="354">
        <f>GasEmissions*($AG50)+'stock-flow model'!$B18*($AH50)/1000</f>
        <v>0</v>
      </c>
      <c r="AJ50" s="344">
        <f>O50*'Appliance Stock Profile'!$B$21+P50*'Appliance Stock Profile'!$B$20+Q50*'Appliance Stock Profile'!$C$21+R50*'Appliance Stock Profile'!$C$20+J50*'Appliance Stock Profile'!$D$20</f>
        <v>0</v>
      </c>
      <c r="AK50" s="344">
        <f t="shared" si="5"/>
        <v>0</v>
      </c>
      <c r="AL50" s="354">
        <f>GasEmissions*($AG50+$AJ50)+'stock-flow model'!$B18*($AH50+$AK50)/1000</f>
        <v>0</v>
      </c>
      <c r="AM50" s="354">
        <f>MAX(GasEmissions*(SUM($AG$34:$AG50)+SUM(AJ$34:AJ50))+'stock-flow model'!$B18*(SUM($AH$34:$AH50)+SUM(AK$34:AK50))/1000,-'4-time of renovation'!BA49)</f>
        <v>-18212.407281311029</v>
      </c>
      <c r="AN50" s="474">
        <f>'4-time of renovation'!BA49+AM50</f>
        <v>258213.35662839955</v>
      </c>
      <c r="AO50" s="354">
        <f>MAX(C50+SUM(J$34:J50),0)</f>
        <v>399586.07254636177</v>
      </c>
      <c r="AP50" s="354">
        <f t="shared" si="6"/>
        <v>153186.57588019437</v>
      </c>
      <c r="AQ50" s="354">
        <f t="shared" si="7"/>
        <v>1174.3232463659369</v>
      </c>
      <c r="AR50" s="472">
        <f>IFERROR(AN50*'Housing Stock Profile'!$D$8*SUMPRODUCT('Appliance Stock Profile'!$B$20:$D$20,Z50:AB50)/('Housing Stock Profile'!$D$8*SUMPRODUCT('Appliance Stock Profile'!$B$20:$D$20,Z50:AB50)+'stock-flow model'!$B18*SUMPRODUCT(AC50:AF50,'Appliance Stock Profile'!$E$20:$H$20)/1000),0)</f>
        <v>258213.35662839955</v>
      </c>
      <c r="AS50" s="475">
        <f t="shared" si="8"/>
        <v>0</v>
      </c>
    </row>
    <row r="51" spans="2:45" hidden="1" x14ac:dyDescent="0.3">
      <c r="B51" s="257">
        <v>2037</v>
      </c>
      <c r="C51" s="472">
        <f>'4-time of renovation'!BB50</f>
        <v>398714.91357675055</v>
      </c>
      <c r="D51" s="472">
        <f>'4-time of renovation'!D50-'4-time of renovation'!G50</f>
        <v>384439.7876670229</v>
      </c>
      <c r="E51" s="354">
        <f>MAX(D51*(($C$5="Date Certain-Rentals Only")*RentalRate+($C$5="Date Certain-All Homes"))-SUM(G$34:G50),0)</f>
        <v>0</v>
      </c>
      <c r="F51" s="529">
        <f t="shared" si="9"/>
        <v>0</v>
      </c>
      <c r="G51" s="529">
        <f t="shared" si="2"/>
        <v>0</v>
      </c>
      <c r="H51" s="354">
        <f>-MAX(controls!$B$26=TRUE, controls!$B$28=TRUE)*$G51*'4-time of renovation'!AN50/'4-time of renovation'!$BB50</f>
        <v>0</v>
      </c>
      <c r="I51" s="354">
        <f>-MAX(controls!$B$27=TRUE, controls!$B$28=TRUE)*$G51*'4-time of renovation'!AO50/'4-time of renovation'!$BB50</f>
        <v>0</v>
      </c>
      <c r="J51" s="354">
        <f>-controls!$B$28*$G51</f>
        <v>0</v>
      </c>
      <c r="K51" s="354">
        <f>-H51*('4-time of renovation'!BD50/('4-time of renovation'!BD50+'4-time of renovation'!BE50))</f>
        <v>0</v>
      </c>
      <c r="L51" s="354">
        <f t="shared" si="10"/>
        <v>0</v>
      </c>
      <c r="M51" s="354">
        <f t="shared" si="11"/>
        <v>0</v>
      </c>
      <c r="N51" s="354">
        <v>0</v>
      </c>
      <c r="O51" s="344">
        <f t="shared" si="12"/>
        <v>0</v>
      </c>
      <c r="P51" s="344">
        <f>MIN(IFERROR($H51*('4-time of renovation'!$AG50+SUM(P$34:P50))/('4-time of renovation'!$Z50+'4-time of renovation'!$AG50+SUM(H$34:H50)),0),0)</f>
        <v>0</v>
      </c>
      <c r="Q51" s="344">
        <f t="shared" si="13"/>
        <v>0</v>
      </c>
      <c r="R51" s="344">
        <f>MIN(IFERROR($I51*('4-time of renovation'!$AH50+SUM(R$34:R50))/('4-time of renovation'!$AA50+'4-time of renovation'!$AH50+SUM(I$34:I50)),0),0)</f>
        <v>0</v>
      </c>
      <c r="S51" s="347">
        <f>MAX($G51*'4-time of renovation'!AG50/'4-time of renovation'!$BB50+H51,0)</f>
        <v>0</v>
      </c>
      <c r="T51" s="347">
        <f>MAX($G51*'4-time of renovation'!AH50/'4-time of renovation'!$BB50+I51,0)</f>
        <v>0</v>
      </c>
      <c r="U51" s="347">
        <f t="shared" si="14"/>
        <v>0</v>
      </c>
      <c r="V51" s="347">
        <f>$G51*'4-time of renovation'!AJ50/'4-time of renovation'!$BB50</f>
        <v>0</v>
      </c>
      <c r="W51" s="347">
        <f>$G51*'4-time of renovation'!AK50/'4-time of renovation'!$BB50</f>
        <v>0</v>
      </c>
      <c r="X51" s="347">
        <f>$G51*'4-time of renovation'!AL50/'4-time of renovation'!$BB50</f>
        <v>0</v>
      </c>
      <c r="Y51" s="347">
        <f t="shared" si="15"/>
        <v>0</v>
      </c>
      <c r="Z51" s="473">
        <f>MAX('4-time of renovation'!AN50+SUM(H$34:H51),0)</f>
        <v>147331.82512510094</v>
      </c>
      <c r="AA51" s="473">
        <f>MAX('4-time of renovation'!AO50+SUM(I$34:I51),0)</f>
        <v>130217.83450391231</v>
      </c>
      <c r="AB51" s="473">
        <f>MAX('4-time of renovation'!AP50+SUM(J$34:J51),0)</f>
        <v>411736.24893996381</v>
      </c>
      <c r="AC51" s="473">
        <f>MAX('4-time of renovation'!AQ50+SUM(K$34:K51),0)</f>
        <v>294252.559987452</v>
      </c>
      <c r="AD51" s="473">
        <f>MAX('4-time of renovation'!AR50+SUM(L$34:L51),0)</f>
        <v>293209.81681168388</v>
      </c>
      <c r="AE51" s="473">
        <f>MAX('4-time of renovation'!AS50+SUM(M$34:M51),0)</f>
        <v>345831.80994540366</v>
      </c>
      <c r="AF51" s="473">
        <f>MAX('4-time of renovation'!AT50+SUM(N$34:N51),0)</f>
        <v>440541.64193678484</v>
      </c>
      <c r="AG51" s="344">
        <f t="shared" si="3"/>
        <v>0</v>
      </c>
      <c r="AH51" s="344">
        <f t="shared" si="4"/>
        <v>0</v>
      </c>
      <c r="AI51" s="354">
        <f>GasEmissions*($AG51)+'stock-flow model'!$B19*($AH51)/1000</f>
        <v>0</v>
      </c>
      <c r="AJ51" s="344">
        <f>O51*'Appliance Stock Profile'!$B$21+P51*'Appliance Stock Profile'!$B$20+Q51*'Appliance Stock Profile'!$C$21+R51*'Appliance Stock Profile'!$C$20+J51*'Appliance Stock Profile'!$D$20</f>
        <v>0</v>
      </c>
      <c r="AK51" s="344">
        <f t="shared" si="5"/>
        <v>0</v>
      </c>
      <c r="AL51" s="354">
        <f>GasEmissions*($AG51+$AJ51)+'stock-flow model'!$B19*($AH51+$AK51)/1000</f>
        <v>0</v>
      </c>
      <c r="AM51" s="354">
        <f>MAX(GasEmissions*(SUM($AG$34:$AG51)+SUM(AJ$34:AJ51))+'stock-flow model'!$B19*(SUM($AH$34:$AH51)+SUM(AK$34:AK51))/1000,-'4-time of renovation'!BA50)</f>
        <v>-18212.407281311029</v>
      </c>
      <c r="AN51" s="474">
        <f>'4-time of renovation'!BA50+AM51</f>
        <v>237684.70110861163</v>
      </c>
      <c r="AO51" s="354">
        <f>MAX(C51+SUM(J$34:J51),0)</f>
        <v>398714.91357675055</v>
      </c>
      <c r="AP51" s="354">
        <f t="shared" si="6"/>
        <v>146289.08194933285</v>
      </c>
      <c r="AQ51" s="354">
        <f t="shared" si="7"/>
        <v>1042.7431757680897</v>
      </c>
      <c r="AR51" s="472">
        <f>IFERROR(AN51*'Housing Stock Profile'!$D$8*SUMPRODUCT('Appliance Stock Profile'!$B$20:$D$20,Z51:AB51)/('Housing Stock Profile'!$D$8*SUMPRODUCT('Appliance Stock Profile'!$B$20:$D$20,Z51:AB51)+'stock-flow model'!$B19*SUMPRODUCT(AC51:AF51,'Appliance Stock Profile'!$E$20:$H$20)/1000),0)</f>
        <v>237684.70110861163</v>
      </c>
      <c r="AS51" s="475">
        <f t="shared" si="8"/>
        <v>0</v>
      </c>
    </row>
    <row r="52" spans="2:45" hidden="1" x14ac:dyDescent="0.3">
      <c r="B52" s="257">
        <v>2038</v>
      </c>
      <c r="C52" s="472">
        <f>'4-time of renovation'!BB51</f>
        <v>397848.40189703036</v>
      </c>
      <c r="D52" s="472">
        <f>'4-time of renovation'!D51-'4-time of renovation'!G51</f>
        <v>382989.01926789113</v>
      </c>
      <c r="E52" s="354">
        <f>MAX(D52*(($C$5="Date Certain-Rentals Only")*RentalRate+($C$5="Date Certain-All Homes"))-SUM(G$34:G51),0)</f>
        <v>0</v>
      </c>
      <c r="F52" s="529">
        <f t="shared" si="9"/>
        <v>0</v>
      </c>
      <c r="G52" s="529">
        <f t="shared" si="2"/>
        <v>0</v>
      </c>
      <c r="H52" s="354">
        <f>-MAX(controls!$B$26=TRUE, controls!$B$28=TRUE)*$G52*'4-time of renovation'!AN51/'4-time of renovation'!$BB51</f>
        <v>0</v>
      </c>
      <c r="I52" s="354">
        <f>-MAX(controls!$B$27=TRUE, controls!$B$28=TRUE)*$G52*'4-time of renovation'!AO51/'4-time of renovation'!$BB51</f>
        <v>0</v>
      </c>
      <c r="J52" s="354">
        <f>-controls!$B$28*$G52</f>
        <v>0</v>
      </c>
      <c r="K52" s="354">
        <f>-H52*('4-time of renovation'!BD51/('4-time of renovation'!BD51+'4-time of renovation'!BE51))</f>
        <v>0</v>
      </c>
      <c r="L52" s="354">
        <f t="shared" si="10"/>
        <v>0</v>
      </c>
      <c r="M52" s="354">
        <f t="shared" si="11"/>
        <v>0</v>
      </c>
      <c r="N52" s="354">
        <v>0</v>
      </c>
      <c r="O52" s="344">
        <f t="shared" si="12"/>
        <v>0</v>
      </c>
      <c r="P52" s="344">
        <f>MIN(IFERROR($H52*('4-time of renovation'!$AG51+SUM(P$34:P51))/('4-time of renovation'!$Z51+'4-time of renovation'!$AG51+SUM(H$34:H51)),0),0)</f>
        <v>0</v>
      </c>
      <c r="Q52" s="344">
        <f t="shared" si="13"/>
        <v>0</v>
      </c>
      <c r="R52" s="344">
        <f>MIN(IFERROR($I52*('4-time of renovation'!$AH51+SUM(R$34:R51))/('4-time of renovation'!$AA51+'4-time of renovation'!$AH51+SUM(I$34:I51)),0),0)</f>
        <v>0</v>
      </c>
      <c r="S52" s="347">
        <f>MAX($G52*'4-time of renovation'!AG51/'4-time of renovation'!$BB51+H52,0)</f>
        <v>0</v>
      </c>
      <c r="T52" s="347">
        <f>MAX($G52*'4-time of renovation'!AH51/'4-time of renovation'!$BB51+I52,0)</f>
        <v>0</v>
      </c>
      <c r="U52" s="347">
        <f t="shared" si="14"/>
        <v>0</v>
      </c>
      <c r="V52" s="347">
        <f>$G52*'4-time of renovation'!AJ51/'4-time of renovation'!$BB51</f>
        <v>0</v>
      </c>
      <c r="W52" s="347">
        <f>$G52*'4-time of renovation'!AK51/'4-time of renovation'!$BB51</f>
        <v>0</v>
      </c>
      <c r="X52" s="347">
        <f>$G52*'4-time of renovation'!AL51/'4-time of renovation'!$BB51</f>
        <v>0</v>
      </c>
      <c r="Y52" s="347">
        <f t="shared" si="15"/>
        <v>0</v>
      </c>
      <c r="Z52" s="473">
        <f>MAX('4-time of renovation'!AN51+SUM(H$34:H52),0)</f>
        <v>140628.18676345807</v>
      </c>
      <c r="AA52" s="473">
        <f>MAX('4-time of renovation'!AO51+SUM(I$34:I52),0)</f>
        <v>128567.26616064522</v>
      </c>
      <c r="AB52" s="473">
        <f>MAX('4-time of renovation'!AP51+SUM(J$34:J52),0)</f>
        <v>411708.6644632942</v>
      </c>
      <c r="AC52" s="473">
        <f>MAX('4-time of renovation'!AQ51+SUM(K$34:K52),0)</f>
        <v>302439.79996489687</v>
      </c>
      <c r="AD52" s="473">
        <f>MAX('4-time of renovation'!AR51+SUM(L$34:L52),0)</f>
        <v>301514.34596023662</v>
      </c>
      <c r="AE52" s="473">
        <f>MAX('4-time of renovation'!AS51+SUM(M$34:M52),0)</f>
        <v>355188.18001519667</v>
      </c>
      <c r="AF52" s="473">
        <f>MAX('4-time of renovation'!AT51+SUM(N$34:N52),0)</f>
        <v>442142.53272369475</v>
      </c>
      <c r="AG52" s="344">
        <f t="shared" si="3"/>
        <v>0</v>
      </c>
      <c r="AH52" s="344">
        <f t="shared" si="4"/>
        <v>0</v>
      </c>
      <c r="AI52" s="354">
        <f>GasEmissions*($AG52)+'stock-flow model'!$B20*($AH52)/1000</f>
        <v>0</v>
      </c>
      <c r="AJ52" s="344">
        <f>O52*'Appliance Stock Profile'!$B$21+P52*'Appliance Stock Profile'!$B$20+Q52*'Appliance Stock Profile'!$C$21+R52*'Appliance Stock Profile'!$C$20+J52*'Appliance Stock Profile'!$D$20</f>
        <v>0</v>
      </c>
      <c r="AK52" s="344">
        <f t="shared" si="5"/>
        <v>0</v>
      </c>
      <c r="AL52" s="354">
        <f>GasEmissions*($AG52+$AJ52)+'stock-flow model'!$B20*($AH52+$AK52)/1000</f>
        <v>0</v>
      </c>
      <c r="AM52" s="354">
        <f>MAX(GasEmissions*(SUM($AG$34:$AG52)+SUM(AJ$34:AJ52))+'stock-flow model'!$B20*(SUM($AH$34:$AH52)+SUM(AK$34:AK52))/1000,-'4-time of renovation'!BA51)</f>
        <v>-18212.407281311029</v>
      </c>
      <c r="AN52" s="474">
        <f>'4-time of renovation'!BA51+AM52</f>
        <v>218604.08979787814</v>
      </c>
      <c r="AO52" s="354">
        <f>MAX(C52+SUM(J$34:J52),0)</f>
        <v>397848.40189703036</v>
      </c>
      <c r="AP52" s="354">
        <f t="shared" si="6"/>
        <v>139702.73275879782</v>
      </c>
      <c r="AQ52" s="354">
        <f t="shared" si="7"/>
        <v>925.45400466024876</v>
      </c>
      <c r="AR52" s="472">
        <f>IFERROR(AN52*'Housing Stock Profile'!$D$8*SUMPRODUCT('Appliance Stock Profile'!$B$20:$D$20,Z52:AB52)/('Housing Stock Profile'!$D$8*SUMPRODUCT('Appliance Stock Profile'!$B$20:$D$20,Z52:AB52)+'stock-flow model'!$B20*SUMPRODUCT(AC52:AF52,'Appliance Stock Profile'!$E$20:$H$20)/1000),0)</f>
        <v>218604.08979787817</v>
      </c>
      <c r="AS52" s="475">
        <f t="shared" si="8"/>
        <v>0</v>
      </c>
    </row>
    <row r="53" spans="2:45" hidden="1" x14ac:dyDescent="0.3">
      <c r="B53" s="257">
        <v>2039</v>
      </c>
      <c r="C53" s="472">
        <f>'4-time of renovation'!BB52</f>
        <v>396986.40097697289</v>
      </c>
      <c r="D53" s="472">
        <f>'4-time of renovation'!D52-'4-time of renovation'!G52</f>
        <v>381569.61480892322</v>
      </c>
      <c r="E53" s="354">
        <f>MAX(D53*(($C$5="Date Certain-Rentals Only")*RentalRate+($C$5="Date Certain-All Homes"))-SUM(G$34:G52),0)</f>
        <v>0</v>
      </c>
      <c r="F53" s="529">
        <f t="shared" si="9"/>
        <v>0</v>
      </c>
      <c r="G53" s="529">
        <f t="shared" si="2"/>
        <v>0</v>
      </c>
      <c r="H53" s="354">
        <f>-MAX(controls!$B$26=TRUE, controls!$B$28=TRUE)*$G53*'4-time of renovation'!AN52/'4-time of renovation'!$BB52</f>
        <v>0</v>
      </c>
      <c r="I53" s="354">
        <f>-MAX(controls!$B$27=TRUE, controls!$B$28=TRUE)*$G53*'4-time of renovation'!AO52/'4-time of renovation'!$BB52</f>
        <v>0</v>
      </c>
      <c r="J53" s="354">
        <f>-controls!$B$28*$G53</f>
        <v>0</v>
      </c>
      <c r="K53" s="354">
        <f>-H53*('4-time of renovation'!BD52/('4-time of renovation'!BD52+'4-time of renovation'!BE52))</f>
        <v>0</v>
      </c>
      <c r="L53" s="354">
        <f t="shared" si="10"/>
        <v>0</v>
      </c>
      <c r="M53" s="354">
        <f t="shared" si="11"/>
        <v>0</v>
      </c>
      <c r="N53" s="354">
        <v>0</v>
      </c>
      <c r="O53" s="344">
        <f t="shared" si="12"/>
        <v>0</v>
      </c>
      <c r="P53" s="344">
        <f>MIN(IFERROR($H53*('4-time of renovation'!$AG52+SUM(P$34:P52))/('4-time of renovation'!$Z52+'4-time of renovation'!$AG52+SUM(H$34:H52)),0),0)</f>
        <v>0</v>
      </c>
      <c r="Q53" s="344">
        <f t="shared" si="13"/>
        <v>0</v>
      </c>
      <c r="R53" s="344">
        <f>MIN(IFERROR($I53*('4-time of renovation'!$AH52+SUM(R$34:R52))/('4-time of renovation'!$AA52+'4-time of renovation'!$AH52+SUM(I$34:I52)),0),0)</f>
        <v>0</v>
      </c>
      <c r="S53" s="347">
        <f>MAX($G53*'4-time of renovation'!AG52/'4-time of renovation'!$BB52+H53,0)</f>
        <v>0</v>
      </c>
      <c r="T53" s="347">
        <f>MAX($G53*'4-time of renovation'!AH52/'4-time of renovation'!$BB52+I53,0)</f>
        <v>0</v>
      </c>
      <c r="U53" s="347">
        <f t="shared" si="14"/>
        <v>0</v>
      </c>
      <c r="V53" s="347">
        <f>$G53*'4-time of renovation'!AJ52/'4-time of renovation'!$BB52</f>
        <v>0</v>
      </c>
      <c r="W53" s="347">
        <f>$G53*'4-time of renovation'!AK52/'4-time of renovation'!$BB52</f>
        <v>0</v>
      </c>
      <c r="X53" s="347">
        <f>$G53*'4-time of renovation'!AL52/'4-time of renovation'!$BB52</f>
        <v>0</v>
      </c>
      <c r="Y53" s="347">
        <f t="shared" si="15"/>
        <v>0</v>
      </c>
      <c r="Z53" s="473">
        <f>MAX('4-time of renovation'!AN52+SUM(H$34:H53),0)</f>
        <v>134234.36941310161</v>
      </c>
      <c r="AA53" s="473">
        <f>MAX('4-time of renovation'!AO52+SUM(I$34:I53),0)</f>
        <v>126996.92200336074</v>
      </c>
      <c r="AB53" s="473">
        <f>MAX('4-time of renovation'!AP52+SUM(J$34:J53),0)</f>
        <v>411682.42486930371</v>
      </c>
      <c r="AC53" s="473">
        <f>MAX('4-time of renovation'!AQ52+SUM(K$34:K53),0)</f>
        <v>310330.0037901639</v>
      </c>
      <c r="AD53" s="473">
        <f>MAX('4-time of renovation'!AR52+SUM(L$34:L53),0)</f>
        <v>309509.05409750307</v>
      </c>
      <c r="AE53" s="473">
        <f>MAX('4-time of renovation'!AS52+SUM(M$34:M53),0)</f>
        <v>363908.94961520412</v>
      </c>
      <c r="AF53" s="473">
        <f>MAX('4-time of renovation'!AT52+SUM(N$34:N53),0)</f>
        <v>443743.42351060471</v>
      </c>
      <c r="AG53" s="344">
        <f t="shared" si="3"/>
        <v>0</v>
      </c>
      <c r="AH53" s="344">
        <f t="shared" si="4"/>
        <v>0</v>
      </c>
      <c r="AI53" s="354">
        <f>GasEmissions*($AG53)+'stock-flow model'!$B21*($AH53)/1000</f>
        <v>0</v>
      </c>
      <c r="AJ53" s="344">
        <f>O53*'Appliance Stock Profile'!$B$21+P53*'Appliance Stock Profile'!$B$20+Q53*'Appliance Stock Profile'!$C$21+R53*'Appliance Stock Profile'!$C$20+J53*'Appliance Stock Profile'!$D$20</f>
        <v>0</v>
      </c>
      <c r="AK53" s="344">
        <f t="shared" si="5"/>
        <v>0</v>
      </c>
      <c r="AL53" s="354">
        <f>GasEmissions*($AG53+$AJ53)+'stock-flow model'!$B21*($AH53+$AK53)/1000</f>
        <v>0</v>
      </c>
      <c r="AM53" s="354">
        <f>MAX(GasEmissions*(SUM($AG$34:$AG53)+SUM(AJ$34:AJ53))+'stock-flow model'!$B21*(SUM($AH$34:$AH53)+SUM(AK$34:AK53))/1000,-'4-time of renovation'!BA52)</f>
        <v>-18212.407281311029</v>
      </c>
      <c r="AN53" s="474">
        <f>'4-time of renovation'!BA52+AM53</f>
        <v>200863.5688394875</v>
      </c>
      <c r="AO53" s="354">
        <f>MAX(C53+SUM(J$34:J53),0)</f>
        <v>396986.40097697289</v>
      </c>
      <c r="AP53" s="354">
        <f t="shared" si="6"/>
        <v>133413.41972044075</v>
      </c>
      <c r="AQ53" s="354">
        <f t="shared" si="7"/>
        <v>820.94969266085536</v>
      </c>
      <c r="AR53" s="472">
        <f>IFERROR(AN53*'Housing Stock Profile'!$D$8*SUMPRODUCT('Appliance Stock Profile'!$B$20:$D$20,Z53:AB53)/('Housing Stock Profile'!$D$8*SUMPRODUCT('Appliance Stock Profile'!$B$20:$D$20,Z53:AB53)+'stock-flow model'!$B21*SUMPRODUCT(AC53:AF53,'Appliance Stock Profile'!$E$20:$H$20)/1000),0)</f>
        <v>200863.56883948753</v>
      </c>
      <c r="AS53" s="475">
        <f t="shared" si="8"/>
        <v>0</v>
      </c>
    </row>
    <row r="54" spans="2:45" hidden="1" x14ac:dyDescent="0.3">
      <c r="B54" s="257">
        <v>2040</v>
      </c>
      <c r="C54" s="472">
        <f>'4-time of renovation'!BB53</f>
        <v>396128.78039364674</v>
      </c>
      <c r="D54" s="472">
        <f>'4-time of renovation'!D53-'4-time of renovation'!G53</f>
        <v>380180.20966092334</v>
      </c>
      <c r="E54" s="354">
        <f>MAX(D54*(($C$5="Date Certain-Rentals Only")*RentalRate+($C$5="Date Certain-All Homes"))-SUM(G$34:G53),0)</f>
        <v>0</v>
      </c>
      <c r="F54" s="529">
        <f t="shared" si="9"/>
        <v>0</v>
      </c>
      <c r="G54" s="529">
        <f t="shared" si="2"/>
        <v>0</v>
      </c>
      <c r="H54" s="354">
        <f>-MAX(controls!$B$26=TRUE, controls!$B$28=TRUE)*$G54*'4-time of renovation'!AN53/'4-time of renovation'!$BB53</f>
        <v>0</v>
      </c>
      <c r="I54" s="354">
        <f>-MAX(controls!$B$27=TRUE, controls!$B$28=TRUE)*$G54*'4-time of renovation'!AO53/'4-time of renovation'!$BB53</f>
        <v>0</v>
      </c>
      <c r="J54" s="354">
        <f>-controls!$B$28*$G54</f>
        <v>0</v>
      </c>
      <c r="K54" s="354">
        <f>-H54*('4-time of renovation'!BD53/('4-time of renovation'!BD53+'4-time of renovation'!BE53))</f>
        <v>0</v>
      </c>
      <c r="L54" s="354">
        <f t="shared" si="10"/>
        <v>0</v>
      </c>
      <c r="M54" s="354">
        <f t="shared" si="11"/>
        <v>0</v>
      </c>
      <c r="N54" s="354">
        <v>0</v>
      </c>
      <c r="O54" s="344">
        <f t="shared" si="12"/>
        <v>0</v>
      </c>
      <c r="P54" s="344">
        <f>MIN(IFERROR($H54*('4-time of renovation'!$AG53+SUM(P$34:P53))/('4-time of renovation'!$Z53+'4-time of renovation'!$AG53+SUM(H$34:H53)),0),0)</f>
        <v>0</v>
      </c>
      <c r="Q54" s="344">
        <f t="shared" si="13"/>
        <v>0</v>
      </c>
      <c r="R54" s="344">
        <f>MIN(IFERROR($I54*('4-time of renovation'!$AH53+SUM(R$34:R53))/('4-time of renovation'!$AA53+'4-time of renovation'!$AH53+SUM(I$34:I53)),0),0)</f>
        <v>0</v>
      </c>
      <c r="S54" s="347">
        <f>MAX($G54*'4-time of renovation'!AG53/'4-time of renovation'!$BB53+H54,0)</f>
        <v>0</v>
      </c>
      <c r="T54" s="347">
        <f>MAX($G54*'4-time of renovation'!AH53/'4-time of renovation'!$BB53+I54,0)</f>
        <v>0</v>
      </c>
      <c r="U54" s="347">
        <f t="shared" si="14"/>
        <v>0</v>
      </c>
      <c r="V54" s="347">
        <f>$G54*'4-time of renovation'!AJ53/'4-time of renovation'!$BB53</f>
        <v>0</v>
      </c>
      <c r="W54" s="347">
        <f>$G54*'4-time of renovation'!AK53/'4-time of renovation'!$BB53</f>
        <v>0</v>
      </c>
      <c r="X54" s="347">
        <f>$G54*'4-time of renovation'!AL53/'4-time of renovation'!$BB53</f>
        <v>0</v>
      </c>
      <c r="Y54" s="347">
        <f t="shared" si="15"/>
        <v>0</v>
      </c>
      <c r="Z54" s="473">
        <f>MAX('4-time of renovation'!AN53+SUM(H$34:H54),0)</f>
        <v>128135.56184354384</v>
      </c>
      <c r="AA54" s="473">
        <f>MAX('4-time of renovation'!AO53+SUM(I$34:I54),0)</f>
        <v>125505.19558982248</v>
      </c>
      <c r="AB54" s="473">
        <f>MAX('4-time of renovation'!AP53+SUM(J$34:J54),0)</f>
        <v>411657.46817767131</v>
      </c>
      <c r="AC54" s="473">
        <f>MAX('4-time of renovation'!AQ53+SUM(K$34:K54),0)</f>
        <v>317936.63016030518</v>
      </c>
      <c r="AD54" s="473">
        <f>MAX('4-time of renovation'!AR53+SUM(L$34:L54),0)</f>
        <v>317208.75245397078</v>
      </c>
      <c r="AE54" s="473">
        <f>MAX('4-time of renovation'!AS53+SUM(M$34:M54),0)</f>
        <v>372046.26454370265</v>
      </c>
      <c r="AF54" s="473">
        <f>MAX('4-time of renovation'!AT53+SUM(N$34:N54),0)</f>
        <v>445344.31429751462</v>
      </c>
      <c r="AG54" s="344">
        <f t="shared" si="3"/>
        <v>0</v>
      </c>
      <c r="AH54" s="344">
        <f t="shared" si="4"/>
        <v>0</v>
      </c>
      <c r="AI54" s="354">
        <f>GasEmissions*($AG54)+'stock-flow model'!$B22*($AH54)/1000</f>
        <v>0</v>
      </c>
      <c r="AJ54" s="344">
        <f>O54*'Appliance Stock Profile'!$B$21+P54*'Appliance Stock Profile'!$B$20+Q54*'Appliance Stock Profile'!$C$21+R54*'Appliance Stock Profile'!$C$20+J54*'Appliance Stock Profile'!$D$20</f>
        <v>0</v>
      </c>
      <c r="AK54" s="344">
        <f t="shared" si="5"/>
        <v>0</v>
      </c>
      <c r="AL54" s="354">
        <f>GasEmissions*($AG54+$AJ54)+'stock-flow model'!$B22*($AH54+$AK54)/1000</f>
        <v>0</v>
      </c>
      <c r="AM54" s="354">
        <f>MAX(GasEmissions*(SUM($AG$34:$AG54)+SUM(AJ$34:AJ54))+'stock-flow model'!$B22*(SUM($AH$34:$AH54)+SUM(AK$34:AK54))/1000,-'4-time of renovation'!BA53)</f>
        <v>-18212.407281311029</v>
      </c>
      <c r="AN54" s="474">
        <f>'4-time of renovation'!BA53+AM54</f>
        <v>184363.63118988744</v>
      </c>
      <c r="AO54" s="354">
        <f>MAX(C54+SUM(J$34:J54),0)</f>
        <v>396128.78039364674</v>
      </c>
      <c r="AP54" s="354">
        <f t="shared" si="6"/>
        <v>127407.68413720943</v>
      </c>
      <c r="AQ54" s="354">
        <f t="shared" si="7"/>
        <v>727.87770633440232</v>
      </c>
      <c r="AR54" s="472">
        <f>IFERROR(AN54*'Housing Stock Profile'!$D$8*SUMPRODUCT('Appliance Stock Profile'!$B$20:$D$20,Z54:AB54)/('Housing Stock Profile'!$D$8*SUMPRODUCT('Appliance Stock Profile'!$B$20:$D$20,Z54:AB54)+'stock-flow model'!$B22*SUMPRODUCT(AC54:AF54,'Appliance Stock Profile'!$E$20:$H$20)/1000),0)</f>
        <v>184363.63118988744</v>
      </c>
      <c r="AS54" s="475">
        <f t="shared" si="8"/>
        <v>0</v>
      </c>
    </row>
    <row r="55" spans="2:45" hidden="1" x14ac:dyDescent="0.3">
      <c r="B55" s="257">
        <v>2041</v>
      </c>
      <c r="C55" s="472">
        <f>'4-time of renovation'!BB54</f>
        <v>395275.41555108374</v>
      </c>
      <c r="D55" s="472">
        <f>'4-time of renovation'!D54-'4-time of renovation'!G54</f>
        <v>378819.50174734578</v>
      </c>
      <c r="E55" s="354">
        <f>MAX(D55*(($C$5="Date Certain-Rentals Only")*RentalRate+($C$5="Date Certain-All Homes"))-SUM(G$34:G54),0)</f>
        <v>0</v>
      </c>
      <c r="F55" s="529">
        <f t="shared" si="9"/>
        <v>0</v>
      </c>
      <c r="G55" s="529">
        <f t="shared" si="2"/>
        <v>0</v>
      </c>
      <c r="H55" s="354">
        <f>-MAX(controls!$B$26=TRUE, controls!$B$28=TRUE)*$G55*'4-time of renovation'!AN54/'4-time of renovation'!$BB54</f>
        <v>0</v>
      </c>
      <c r="I55" s="354">
        <f>-MAX(controls!$B$27=TRUE, controls!$B$28=TRUE)*$G55*'4-time of renovation'!AO54/'4-time of renovation'!$BB54</f>
        <v>0</v>
      </c>
      <c r="J55" s="354">
        <f>-controls!$B$28*$G55</f>
        <v>0</v>
      </c>
      <c r="K55" s="354">
        <f>-H55*('4-time of renovation'!BD54/('4-time of renovation'!BD54+'4-time of renovation'!BE54))</f>
        <v>0</v>
      </c>
      <c r="L55" s="354">
        <f t="shared" si="10"/>
        <v>0</v>
      </c>
      <c r="M55" s="354">
        <f t="shared" si="11"/>
        <v>0</v>
      </c>
      <c r="N55" s="354">
        <v>0</v>
      </c>
      <c r="O55" s="344">
        <f t="shared" si="12"/>
        <v>0</v>
      </c>
      <c r="P55" s="344">
        <f>MIN(IFERROR($H55*('4-time of renovation'!$AG54+SUM(P$34:P54))/('4-time of renovation'!$Z54+'4-time of renovation'!$AG54+SUM(H$34:H54)),0),0)</f>
        <v>0</v>
      </c>
      <c r="Q55" s="344">
        <f t="shared" si="13"/>
        <v>0</v>
      </c>
      <c r="R55" s="344">
        <f>MIN(IFERROR($I55*('4-time of renovation'!$AH54+SUM(R$34:R54))/('4-time of renovation'!$AA54+'4-time of renovation'!$AH54+SUM(I$34:I54)),0),0)</f>
        <v>0</v>
      </c>
      <c r="S55" s="347">
        <f>MAX($G55*'4-time of renovation'!AG54/'4-time of renovation'!$BB54+H55,0)</f>
        <v>0</v>
      </c>
      <c r="T55" s="347">
        <f>MAX($G55*'4-time of renovation'!AH54/'4-time of renovation'!$BB54+I55,0)</f>
        <v>0</v>
      </c>
      <c r="U55" s="347">
        <f t="shared" si="14"/>
        <v>0</v>
      </c>
      <c r="V55" s="347">
        <f>$G55*'4-time of renovation'!AJ54/'4-time of renovation'!$BB54</f>
        <v>0</v>
      </c>
      <c r="W55" s="347">
        <f>$G55*'4-time of renovation'!AK54/'4-time of renovation'!$BB54</f>
        <v>0</v>
      </c>
      <c r="X55" s="347">
        <f>$G55*'4-time of renovation'!AL54/'4-time of renovation'!$BB54</f>
        <v>0</v>
      </c>
      <c r="Y55" s="347">
        <f t="shared" si="15"/>
        <v>0</v>
      </c>
      <c r="Z55" s="473">
        <f>MAX('4-time of renovation'!AN54+SUM(H$34:H55),0)</f>
        <v>122317.70988022334</v>
      </c>
      <c r="AA55" s="473">
        <f>MAX('4-time of renovation'!AO54+SUM(I$34:I55),0)</f>
        <v>124090.16469938203</v>
      </c>
      <c r="AB55" s="473">
        <f>MAX('4-time of renovation'!AP54+SUM(J$34:J55),0)</f>
        <v>411633.73525713576</v>
      </c>
      <c r="AC55" s="473">
        <f>MAX('4-time of renovation'!AQ54+SUM(K$34:K55),0)</f>
        <v>325272.51923187246</v>
      </c>
      <c r="AD55" s="473">
        <f>MAX('4-time of renovation'!AR54+SUM(L$34:L55),0)</f>
        <v>324627.4952042012</v>
      </c>
      <c r="AE55" s="473">
        <f>MAX('4-time of renovation'!AS54+SUM(M$34:M55),0)</f>
        <v>379647.98519616335</v>
      </c>
      <c r="AF55" s="473">
        <f>MAX('4-time of renovation'!AT54+SUM(N$34:N55),0)</f>
        <v>446945.20508442458</v>
      </c>
      <c r="AG55" s="344">
        <f t="shared" si="3"/>
        <v>0</v>
      </c>
      <c r="AH55" s="344">
        <f t="shared" si="4"/>
        <v>0</v>
      </c>
      <c r="AI55" s="354">
        <f>GasEmissions*($AG55)+'stock-flow model'!$B23*($AH55)/1000</f>
        <v>0</v>
      </c>
      <c r="AJ55" s="344">
        <f>O55*'Appliance Stock Profile'!$B$21+P55*'Appliance Stock Profile'!$B$20+Q55*'Appliance Stock Profile'!$C$21+R55*'Appliance Stock Profile'!$C$20+J55*'Appliance Stock Profile'!$D$20</f>
        <v>0</v>
      </c>
      <c r="AK55" s="344">
        <f t="shared" si="5"/>
        <v>0</v>
      </c>
      <c r="AL55" s="354">
        <f>GasEmissions*($AG55+$AJ55)+'stock-flow model'!$B23*($AH55+$AK55)/1000</f>
        <v>0</v>
      </c>
      <c r="AM55" s="354">
        <f>MAX(GasEmissions*(SUM($AG$34:$AG55)+SUM(AJ$34:AJ55))+'stock-flow model'!$B23*(SUM($AH$34:$AH55)+SUM(AK$34:AK55))/1000,-'4-time of renovation'!BA54)</f>
        <v>-18212.407281311029</v>
      </c>
      <c r="AN55" s="474">
        <f>'4-time of renovation'!BA54+AM55</f>
        <v>169012.46439194345</v>
      </c>
      <c r="AO55" s="354">
        <f>MAX(C55+SUM(J$34:J55),0)</f>
        <v>395275.41555108374</v>
      </c>
      <c r="AP55" s="354">
        <f t="shared" si="6"/>
        <v>121672.68585255207</v>
      </c>
      <c r="AQ55" s="354">
        <f t="shared" si="7"/>
        <v>645.02402767127205</v>
      </c>
      <c r="AR55" s="472">
        <f>IFERROR(AN55*'Housing Stock Profile'!$D$8*SUMPRODUCT('Appliance Stock Profile'!$B$20:$D$20,Z55:AB55)/('Housing Stock Profile'!$D$8*SUMPRODUCT('Appliance Stock Profile'!$B$20:$D$20,Z55:AB55)+'stock-flow model'!$B23*SUMPRODUCT(AC55:AF55,'Appliance Stock Profile'!$E$20:$H$20)/1000),0)</f>
        <v>169012.46439194345</v>
      </c>
      <c r="AS55" s="475">
        <f t="shared" si="8"/>
        <v>0</v>
      </c>
    </row>
    <row r="56" spans="2:45" hidden="1" x14ac:dyDescent="0.3">
      <c r="B56" s="257">
        <v>2042</v>
      </c>
      <c r="C56" s="472">
        <f>'4-time of renovation'!BB55</f>
        <v>394426.18741282827</v>
      </c>
      <c r="D56" s="472">
        <f>'4-time of renovation'!D55-'4-time of renovation'!G55</f>
        <v>377486.24866965954</v>
      </c>
      <c r="E56" s="354">
        <f>MAX(D56*(($C$5="Date Certain-Rentals Only")*RentalRate+($C$5="Date Certain-All Homes"))-SUM(G$34:G55),0)</f>
        <v>0</v>
      </c>
      <c r="F56" s="529">
        <f t="shared" si="9"/>
        <v>0</v>
      </c>
      <c r="G56" s="529">
        <f t="shared" si="2"/>
        <v>0</v>
      </c>
      <c r="H56" s="354">
        <f>-MAX(controls!$B$26=TRUE, controls!$B$28=TRUE)*$G56*'4-time of renovation'!AN55/'4-time of renovation'!$BB55</f>
        <v>0</v>
      </c>
      <c r="I56" s="354">
        <f>-MAX(controls!$B$27=TRUE, controls!$B$28=TRUE)*$G56*'4-time of renovation'!AO55/'4-time of renovation'!$BB55</f>
        <v>0</v>
      </c>
      <c r="J56" s="354">
        <f>-controls!$B$28*$G56</f>
        <v>0</v>
      </c>
      <c r="K56" s="354">
        <f>-H56*('4-time of renovation'!BD55/('4-time of renovation'!BD55+'4-time of renovation'!BE55))</f>
        <v>0</v>
      </c>
      <c r="L56" s="354">
        <f t="shared" si="10"/>
        <v>0</v>
      </c>
      <c r="M56" s="354">
        <f t="shared" si="11"/>
        <v>0</v>
      </c>
      <c r="N56" s="354">
        <v>0</v>
      </c>
      <c r="O56" s="344">
        <f t="shared" si="12"/>
        <v>0</v>
      </c>
      <c r="P56" s="344">
        <f>MIN(IFERROR($H56*('4-time of renovation'!$AG55+SUM(P$34:P55))/('4-time of renovation'!$Z55+'4-time of renovation'!$AG55+SUM(H$34:H55)),0),0)</f>
        <v>0</v>
      </c>
      <c r="Q56" s="344">
        <f t="shared" si="13"/>
        <v>0</v>
      </c>
      <c r="R56" s="344">
        <f>MIN(IFERROR($I56*('4-time of renovation'!$AH55+SUM(R$34:R55))/('4-time of renovation'!$AA55+'4-time of renovation'!$AH55+SUM(I$34:I55)),0),0)</f>
        <v>0</v>
      </c>
      <c r="S56" s="347">
        <f>MAX($G56*'4-time of renovation'!AG55/'4-time of renovation'!$BB55+H56,0)</f>
        <v>0</v>
      </c>
      <c r="T56" s="347">
        <f>MAX($G56*'4-time of renovation'!AH55/'4-time of renovation'!$BB55+I56,0)</f>
        <v>0</v>
      </c>
      <c r="U56" s="347">
        <f t="shared" si="14"/>
        <v>0</v>
      </c>
      <c r="V56" s="347">
        <f>$G56*'4-time of renovation'!AJ55/'4-time of renovation'!$BB55</f>
        <v>0</v>
      </c>
      <c r="W56" s="347">
        <f>$G56*'4-time of renovation'!AK55/'4-time of renovation'!$BB55</f>
        <v>0</v>
      </c>
      <c r="X56" s="347">
        <f>$G56*'4-time of renovation'!AL55/'4-time of renovation'!$BB55</f>
        <v>0</v>
      </c>
      <c r="Y56" s="347">
        <f t="shared" si="15"/>
        <v>0</v>
      </c>
      <c r="Z56" s="473">
        <f>MAX('4-time of renovation'!AN55+SUM(H$34:H56),0)</f>
        <v>117796.24352310156</v>
      </c>
      <c r="AA56" s="473">
        <f>MAX('4-time of renovation'!AO55+SUM(I$34:I56),0)</f>
        <v>122749.65736751986</v>
      </c>
      <c r="AB56" s="473">
        <f>MAX('4-time of renovation'!AP55+SUM(J$34:J56),0)</f>
        <v>411611.16969454789</v>
      </c>
      <c r="AC56" s="473">
        <f>MAX('4-time of renovation'!AQ55+SUM(K$34:K56),0)</f>
        <v>332349.93192903465</v>
      </c>
      <c r="AD56" s="473">
        <f>MAX('4-time of renovation'!AR55+SUM(L$34:L56),0)</f>
        <v>331778.62272810389</v>
      </c>
      <c r="AE56" s="473">
        <f>MAX('4-time of renovation'!AS55+SUM(M$34:M56),0)</f>
        <v>386758.03970693925</v>
      </c>
      <c r="AF56" s="473">
        <f>MAX('4-time of renovation'!AT55+SUM(N$34:N56),0)</f>
        <v>448546.09587133455</v>
      </c>
      <c r="AG56" s="344">
        <f t="shared" si="3"/>
        <v>0</v>
      </c>
      <c r="AH56" s="344">
        <f t="shared" si="4"/>
        <v>0</v>
      </c>
      <c r="AI56" s="354">
        <f>GasEmissions*($AG56)+'stock-flow model'!$B24*($AH56)/1000</f>
        <v>0</v>
      </c>
      <c r="AJ56" s="344">
        <f>O56*'Appliance Stock Profile'!$B$21+P56*'Appliance Stock Profile'!$B$20+Q56*'Appliance Stock Profile'!$C$21+R56*'Appliance Stock Profile'!$C$20+J56*'Appliance Stock Profile'!$D$20</f>
        <v>0</v>
      </c>
      <c r="AK56" s="344">
        <f t="shared" si="5"/>
        <v>0</v>
      </c>
      <c r="AL56" s="354">
        <f>GasEmissions*($AG56+$AJ56)+'stock-flow model'!$B24*($AH56+$AK56)/1000</f>
        <v>0</v>
      </c>
      <c r="AM56" s="354">
        <f>MAX(GasEmissions*(SUM($AG$34:$AG56)+SUM(AJ$34:AJ56))+'stock-flow model'!$B24*(SUM($AH$34:$AH56)+SUM(AK$34:AK56))/1000,-'4-time of renovation'!BA55)</f>
        <v>-18212.407281311029</v>
      </c>
      <c r="AN56" s="474">
        <f>'4-time of renovation'!BA55+AM56</f>
        <v>154711.87896673239</v>
      </c>
      <c r="AO56" s="354">
        <f>MAX(C56+SUM(J$34:J56),0)</f>
        <v>394426.18741282827</v>
      </c>
      <c r="AP56" s="354">
        <f t="shared" si="6"/>
        <v>117224.9343221708</v>
      </c>
      <c r="AQ56" s="354">
        <f t="shared" si="7"/>
        <v>571.30920093075838</v>
      </c>
      <c r="AR56" s="472">
        <f>IFERROR(AN56*'Housing Stock Profile'!$D$8*SUMPRODUCT('Appliance Stock Profile'!$B$20:$D$20,Z56:AB56)/('Housing Stock Profile'!$D$8*SUMPRODUCT('Appliance Stock Profile'!$B$20:$D$20,Z56:AB56)+'stock-flow model'!$B24*SUMPRODUCT(AC56:AF56,'Appliance Stock Profile'!$E$20:$H$20)/1000),0)</f>
        <v>154711.87896673239</v>
      </c>
      <c r="AS56" s="475">
        <f t="shared" si="8"/>
        <v>0</v>
      </c>
    </row>
    <row r="57" spans="2:45" hidden="1" x14ac:dyDescent="0.3">
      <c r="B57" s="257">
        <v>2043</v>
      </c>
      <c r="C57" s="472">
        <f>'4-time of renovation'!BB56</f>
        <v>393580.98224677966</v>
      </c>
      <c r="D57" s="472">
        <f>'4-time of renovation'!D56-'4-time of renovation'!G56</f>
        <v>376179.26496483543</v>
      </c>
      <c r="E57" s="354">
        <f>MAX(D57*(($C$5="Date Certain-Rentals Only")*RentalRate+($C$5="Date Certain-All Homes"))-SUM(G$34:G56),0)</f>
        <v>0</v>
      </c>
      <c r="F57" s="529">
        <f t="shared" si="9"/>
        <v>0</v>
      </c>
      <c r="G57" s="529">
        <f t="shared" si="2"/>
        <v>0</v>
      </c>
      <c r="H57" s="354">
        <f>-MAX(controls!$B$26=TRUE, controls!$B$28=TRUE)*$G57*'4-time of renovation'!AN56/'4-time of renovation'!$BB56</f>
        <v>0</v>
      </c>
      <c r="I57" s="354">
        <f>-MAX(controls!$B$27=TRUE, controls!$B$28=TRUE)*$G57*'4-time of renovation'!AO56/'4-time of renovation'!$BB56</f>
        <v>0</v>
      </c>
      <c r="J57" s="354">
        <f>-controls!$B$28*$G57</f>
        <v>0</v>
      </c>
      <c r="K57" s="354">
        <f>-H57*('4-time of renovation'!BD56/('4-time of renovation'!BD56+'4-time of renovation'!BE56))</f>
        <v>0</v>
      </c>
      <c r="L57" s="354">
        <f t="shared" si="10"/>
        <v>0</v>
      </c>
      <c r="M57" s="354">
        <f t="shared" si="11"/>
        <v>0</v>
      </c>
      <c r="N57" s="354">
        <v>0</v>
      </c>
      <c r="O57" s="344">
        <f t="shared" si="12"/>
        <v>0</v>
      </c>
      <c r="P57" s="344">
        <f>MIN(IFERROR($H57*('4-time of renovation'!$AG56+SUM(P$34:P56))/('4-time of renovation'!$Z56+'4-time of renovation'!$AG56+SUM(H$34:H56)),0),0)</f>
        <v>0</v>
      </c>
      <c r="Q57" s="344">
        <f t="shared" si="13"/>
        <v>0</v>
      </c>
      <c r="R57" s="344">
        <f>MIN(IFERROR($I57*('4-time of renovation'!$AH56+SUM(R$34:R56))/('4-time of renovation'!$AA56+'4-time of renovation'!$AH56+SUM(I$34:I56)),0),0)</f>
        <v>0</v>
      </c>
      <c r="S57" s="347">
        <f>MAX($G57*'4-time of renovation'!AG56/'4-time of renovation'!$BB56+H57,0)</f>
        <v>0</v>
      </c>
      <c r="T57" s="347">
        <f>MAX($G57*'4-time of renovation'!AH56/'4-time of renovation'!$BB56+I57,0)</f>
        <v>0</v>
      </c>
      <c r="U57" s="347">
        <f t="shared" si="14"/>
        <v>0</v>
      </c>
      <c r="V57" s="347">
        <f>$G57*'4-time of renovation'!AJ56/'4-time of renovation'!$BB56</f>
        <v>0</v>
      </c>
      <c r="W57" s="347">
        <f>$G57*'4-time of renovation'!AK56/'4-time of renovation'!$BB56</f>
        <v>0</v>
      </c>
      <c r="X57" s="347">
        <f>$G57*'4-time of renovation'!AL56/'4-time of renovation'!$BB56</f>
        <v>0</v>
      </c>
      <c r="Y57" s="347">
        <f t="shared" si="15"/>
        <v>0</v>
      </c>
      <c r="Z57" s="473">
        <f>MAX('4-time of renovation'!AN56+SUM(H$34:H57),0)</f>
        <v>117326.41170758763</v>
      </c>
      <c r="AA57" s="473">
        <f>MAX('4-time of renovation'!AO56+SUM(I$34:I57),0)</f>
        <v>121481.30892397693</v>
      </c>
      <c r="AB57" s="473">
        <f>MAX('4-time of renovation'!AP56+SUM(J$34:J57),0)</f>
        <v>411589.71766994259</v>
      </c>
      <c r="AC57" s="473">
        <f>MAX('4-time of renovation'!AQ56+SUM(K$34:K57),0)</f>
        <v>339180.57821005851</v>
      </c>
      <c r="AD57" s="473">
        <f>MAX('4-time of renovation'!AR56+SUM(L$34:L57),0)</f>
        <v>338674.80202232377</v>
      </c>
      <c r="AE57" s="473">
        <f>MAX('4-time of renovation'!AS56+SUM(M$34:M57),0)</f>
        <v>393416.7478628424</v>
      </c>
      <c r="AF57" s="473">
        <f>MAX('4-time of renovation'!AT56+SUM(N$34:N57),0)</f>
        <v>450146.98665824445</v>
      </c>
      <c r="AG57" s="344">
        <f t="shared" si="3"/>
        <v>0</v>
      </c>
      <c r="AH57" s="344">
        <f t="shared" si="4"/>
        <v>0</v>
      </c>
      <c r="AI57" s="354">
        <f>GasEmissions*($AG57)+'stock-flow model'!$B25*($AH57)/1000</f>
        <v>0</v>
      </c>
      <c r="AJ57" s="344">
        <f>O57*'Appliance Stock Profile'!$B$21+P57*'Appliance Stock Profile'!$B$20+Q57*'Appliance Stock Profile'!$C$21+R57*'Appliance Stock Profile'!$C$20+J57*'Appliance Stock Profile'!$D$20</f>
        <v>0</v>
      </c>
      <c r="AK57" s="344">
        <f t="shared" si="5"/>
        <v>0</v>
      </c>
      <c r="AL57" s="354">
        <f>GasEmissions*($AG57+$AJ57)+'stock-flow model'!$B25*($AH57+$AK57)/1000</f>
        <v>0</v>
      </c>
      <c r="AM57" s="354">
        <f>MAX(GasEmissions*(SUM($AG$34:$AG57)+SUM(AJ$34:AJ57))+'stock-flow model'!$B25*(SUM($AH$34:$AH57)+SUM(AK$34:AK57))/1000,-'4-time of renovation'!BA56)</f>
        <v>-18212.407281311029</v>
      </c>
      <c r="AN57" s="474">
        <f>'4-time of renovation'!BA56+AM57</f>
        <v>141343.51981855617</v>
      </c>
      <c r="AO57" s="354">
        <f>MAX(C57+SUM(J$34:J57),0)</f>
        <v>393580.98224677966</v>
      </c>
      <c r="AP57" s="354">
        <f t="shared" si="6"/>
        <v>116820.63551985286</v>
      </c>
      <c r="AQ57" s="354">
        <f t="shared" si="7"/>
        <v>505.7761877347657</v>
      </c>
      <c r="AR57" s="472">
        <f>IFERROR(AN57*'Housing Stock Profile'!$D$8*SUMPRODUCT('Appliance Stock Profile'!$B$20:$D$20,Z57:AB57)/('Housing Stock Profile'!$D$8*SUMPRODUCT('Appliance Stock Profile'!$B$20:$D$20,Z57:AB57)+'stock-flow model'!$B25*SUMPRODUCT(AC57:AF57,'Appliance Stock Profile'!$E$20:$H$20)/1000),0)</f>
        <v>141343.5198185562</v>
      </c>
      <c r="AS57" s="475">
        <f t="shared" si="8"/>
        <v>0</v>
      </c>
    </row>
    <row r="58" spans="2:45" hidden="1" x14ac:dyDescent="0.3">
      <c r="B58" s="257">
        <v>2044</v>
      </c>
      <c r="C58" s="472">
        <f>'4-time of renovation'!BB57</f>
        <v>392739.69138175971</v>
      </c>
      <c r="D58" s="472">
        <f>'4-time of renovation'!D57-'4-time of renovation'!G57</f>
        <v>374897.41948888061</v>
      </c>
      <c r="E58" s="354">
        <f>MAX(D58*(($C$5="Date Certain-Rentals Only")*RentalRate+($C$5="Date Certain-All Homes"))-SUM(G$34:G57),0)</f>
        <v>0</v>
      </c>
      <c r="F58" s="529">
        <f t="shared" si="9"/>
        <v>0</v>
      </c>
      <c r="G58" s="529">
        <f t="shared" si="2"/>
        <v>0</v>
      </c>
      <c r="H58" s="354">
        <f>-MAX(controls!$B$26=TRUE, controls!$B$28=TRUE)*$G58*'4-time of renovation'!AN57/'4-time of renovation'!$BB57</f>
        <v>0</v>
      </c>
      <c r="I58" s="354">
        <f>-MAX(controls!$B$27=TRUE, controls!$B$28=TRUE)*$G58*'4-time of renovation'!AO57/'4-time of renovation'!$BB57</f>
        <v>0</v>
      </c>
      <c r="J58" s="354">
        <f>-controls!$B$28*$G58</f>
        <v>0</v>
      </c>
      <c r="K58" s="354">
        <f>-H58*('4-time of renovation'!BD57/('4-time of renovation'!BD57+'4-time of renovation'!BE57))</f>
        <v>0</v>
      </c>
      <c r="L58" s="354">
        <f t="shared" si="10"/>
        <v>0</v>
      </c>
      <c r="M58" s="354">
        <f t="shared" si="11"/>
        <v>0</v>
      </c>
      <c r="N58" s="354">
        <v>0</v>
      </c>
      <c r="O58" s="344">
        <f t="shared" si="12"/>
        <v>0</v>
      </c>
      <c r="P58" s="344">
        <f>MIN(IFERROR($H58*('4-time of renovation'!$AG57+SUM(P$34:P57))/('4-time of renovation'!$Z57+'4-time of renovation'!$AG57+SUM(H$34:H57)),0),0)</f>
        <v>0</v>
      </c>
      <c r="Q58" s="344">
        <f t="shared" si="13"/>
        <v>0</v>
      </c>
      <c r="R58" s="344">
        <f>MIN(IFERROR($I58*('4-time of renovation'!$AH57+SUM(R$34:R57))/('4-time of renovation'!$AA57+'4-time of renovation'!$AH57+SUM(I$34:I57)),0),0)</f>
        <v>0</v>
      </c>
      <c r="S58" s="347">
        <f>MAX($G58*'4-time of renovation'!AG57/'4-time of renovation'!$BB57+H58,0)</f>
        <v>0</v>
      </c>
      <c r="T58" s="347">
        <f>MAX($G58*'4-time of renovation'!AH57/'4-time of renovation'!$BB57+I58,0)</f>
        <v>0</v>
      </c>
      <c r="U58" s="347">
        <f t="shared" si="14"/>
        <v>0</v>
      </c>
      <c r="V58" s="347">
        <f>$G58*'4-time of renovation'!AJ57/'4-time of renovation'!$BB57</f>
        <v>0</v>
      </c>
      <c r="W58" s="347">
        <f>$G58*'4-time of renovation'!AK57/'4-time of renovation'!$BB57</f>
        <v>0</v>
      </c>
      <c r="X58" s="347">
        <f>$G58*'4-time of renovation'!AL57/'4-time of renovation'!$BB57</f>
        <v>0</v>
      </c>
      <c r="Y58" s="347">
        <f t="shared" si="15"/>
        <v>0</v>
      </c>
      <c r="Z58" s="473">
        <f>MAX('4-time of renovation'!AN57+SUM(H$34:H58),0)</f>
        <v>116857.75213258428</v>
      </c>
      <c r="AA58" s="473">
        <f>MAX('4-time of renovation'!AO57+SUM(I$34:I58),0)</f>
        <v>120282.6110891603</v>
      </c>
      <c r="AB58" s="473">
        <f>MAX('4-time of renovation'!AP57+SUM(J$34:J58),0)</f>
        <v>411569.32783735148</v>
      </c>
      <c r="AC58" s="473">
        <f>MAX('4-time of renovation'!AQ57+SUM(K$34:K58),0)</f>
        <v>345775.57390878024</v>
      </c>
      <c r="AD58" s="473">
        <f>MAX('4-time of renovation'!AR57+SUM(L$34:L58),0)</f>
        <v>345328.06447449746</v>
      </c>
      <c r="AE58" s="473">
        <f>MAX('4-time of renovation'!AS57+SUM(M$34:M58),0)</f>
        <v>399661.11822447489</v>
      </c>
      <c r="AF58" s="473">
        <f>MAX('4-time of renovation'!AT57+SUM(N$34:N58),0)</f>
        <v>451747.87744515442</v>
      </c>
      <c r="AG58" s="344">
        <f t="shared" si="3"/>
        <v>0</v>
      </c>
      <c r="AH58" s="344">
        <f t="shared" si="4"/>
        <v>0</v>
      </c>
      <c r="AI58" s="354">
        <f>GasEmissions*($AG58)+'stock-flow model'!$B26*($AH58)/1000</f>
        <v>0</v>
      </c>
      <c r="AJ58" s="344">
        <f>O58*'Appliance Stock Profile'!$B$21+P58*'Appliance Stock Profile'!$B$20+Q58*'Appliance Stock Profile'!$C$21+R58*'Appliance Stock Profile'!$C$20+J58*'Appliance Stock Profile'!$D$20</f>
        <v>0</v>
      </c>
      <c r="AK58" s="344">
        <f t="shared" si="5"/>
        <v>0</v>
      </c>
      <c r="AL58" s="354">
        <f>GasEmissions*($AG58+$AJ58)+'stock-flow model'!$B26*($AH58+$AK58)/1000</f>
        <v>0</v>
      </c>
      <c r="AM58" s="354">
        <f>MAX(GasEmissions*(SUM($AG$34:$AG58)+SUM(AJ$34:AJ58))+'stock-flow model'!$B26*(SUM($AH$34:$AH58)+SUM(AK$34:AK58))/1000,-'4-time of renovation'!BA57)</f>
        <v>-18212.407281311029</v>
      </c>
      <c r="AN58" s="474">
        <f>'4-time of renovation'!BA57+AM58</f>
        <v>128840.55837241406</v>
      </c>
      <c r="AO58" s="354">
        <f>MAX(C58+SUM(J$34:J58),0)</f>
        <v>392739.69138175971</v>
      </c>
      <c r="AP58" s="354">
        <f t="shared" si="6"/>
        <v>116410.2426983015</v>
      </c>
      <c r="AQ58" s="354">
        <f t="shared" si="7"/>
        <v>447.50943428277969</v>
      </c>
      <c r="AR58" s="472">
        <f>IFERROR(AN58*'Housing Stock Profile'!$D$8*SUMPRODUCT('Appliance Stock Profile'!$B$20:$D$20,Z58:AB58)/('Housing Stock Profile'!$D$8*SUMPRODUCT('Appliance Stock Profile'!$B$20:$D$20,Z58:AB58)+'stock-flow model'!$B26*SUMPRODUCT(AC58:AF58,'Appliance Stock Profile'!$E$20:$H$20)/1000),0)</f>
        <v>128840.55837241406</v>
      </c>
      <c r="AS58" s="475">
        <f t="shared" si="8"/>
        <v>0</v>
      </c>
    </row>
    <row r="59" spans="2:45" hidden="1" x14ac:dyDescent="0.3">
      <c r="B59" s="257">
        <v>2045</v>
      </c>
      <c r="C59" s="472">
        <f>'4-time of renovation'!BB58</f>
        <v>391902.21097526886</v>
      </c>
      <c r="D59" s="472">
        <f>'4-time of renovation'!D58-'4-time of renovation'!G58</f>
        <v>373639.63292062964</v>
      </c>
      <c r="E59" s="354">
        <f>MAX(D59*(($C$5="Date Certain-Rentals Only")*RentalRate+($C$5="Date Certain-All Homes"))-SUM(G$34:G58),0)</f>
        <v>0</v>
      </c>
      <c r="F59" s="529">
        <f t="shared" si="9"/>
        <v>0</v>
      </c>
      <c r="G59" s="529">
        <f t="shared" si="2"/>
        <v>0</v>
      </c>
      <c r="H59" s="354">
        <f>-MAX(controls!$B$26=TRUE, controls!$B$28=TRUE)*$G59*'4-time of renovation'!AN58/'4-time of renovation'!$BB58</f>
        <v>0</v>
      </c>
      <c r="I59" s="354">
        <f>-MAX(controls!$B$27=TRUE, controls!$B$28=TRUE)*$G59*'4-time of renovation'!AO58/'4-time of renovation'!$BB58</f>
        <v>0</v>
      </c>
      <c r="J59" s="354">
        <f>-controls!$B$28*$G59</f>
        <v>0</v>
      </c>
      <c r="K59" s="354">
        <f>-H59*('4-time of renovation'!BD58/('4-time of renovation'!BD58+'4-time of renovation'!BE58))</f>
        <v>0</v>
      </c>
      <c r="L59" s="354">
        <f t="shared" si="10"/>
        <v>0</v>
      </c>
      <c r="M59" s="354">
        <f t="shared" si="11"/>
        <v>0</v>
      </c>
      <c r="N59" s="354">
        <v>0</v>
      </c>
      <c r="O59" s="344">
        <f t="shared" si="12"/>
        <v>0</v>
      </c>
      <c r="P59" s="344">
        <f>MIN(IFERROR($H59*('4-time of renovation'!$AG58+SUM(P$34:P58))/('4-time of renovation'!$Z58+'4-time of renovation'!$AG58+SUM(H$34:H58)),0),0)</f>
        <v>0</v>
      </c>
      <c r="Q59" s="344">
        <f t="shared" si="13"/>
        <v>0</v>
      </c>
      <c r="R59" s="344">
        <f>MIN(IFERROR($I59*('4-time of renovation'!$AH58+SUM(R$34:R58))/('4-time of renovation'!$AA58+'4-time of renovation'!$AH58+SUM(I$34:I58)),0),0)</f>
        <v>0</v>
      </c>
      <c r="S59" s="347">
        <f>MAX($G59*'4-time of renovation'!AG58/'4-time of renovation'!$BB58+H59,0)</f>
        <v>0</v>
      </c>
      <c r="T59" s="347">
        <f>MAX($G59*'4-time of renovation'!AH58/'4-time of renovation'!$BB58+I59,0)</f>
        <v>0</v>
      </c>
      <c r="U59" s="347">
        <f t="shared" si="14"/>
        <v>0</v>
      </c>
      <c r="V59" s="347">
        <f>$G59*'4-time of renovation'!AJ58/'4-time of renovation'!$BB58</f>
        <v>0</v>
      </c>
      <c r="W59" s="347">
        <f>$G59*'4-time of renovation'!AK58/'4-time of renovation'!$BB58</f>
        <v>0</v>
      </c>
      <c r="X59" s="347">
        <f>$G59*'4-time of renovation'!AL58/'4-time of renovation'!$BB58</f>
        <v>0</v>
      </c>
      <c r="Y59" s="347">
        <f t="shared" si="15"/>
        <v>0</v>
      </c>
      <c r="Z59" s="473">
        <f>MAX('4-time of renovation'!AN58+SUM(H$34:H59),0)</f>
        <v>116390.96508229643</v>
      </c>
      <c r="AA59" s="473">
        <f>MAX('4-time of renovation'!AO58+SUM(I$34:I59),0)</f>
        <v>119150.95406932045</v>
      </c>
      <c r="AB59" s="473">
        <f>MAX('4-time of renovation'!AP58+SUM(J$34:J59),0)</f>
        <v>411549.95121109451</v>
      </c>
      <c r="AC59" s="473">
        <f>MAX('4-time of renovation'!AQ58+SUM(K$34:K59),0)</f>
        <v>352145.56837643497</v>
      </c>
      <c r="AD59" s="473">
        <f>MAX('4-time of renovation'!AR58+SUM(L$34:L59),0)</f>
        <v>351749.84119628329</v>
      </c>
      <c r="AE59" s="473">
        <f>MAX('4-time of renovation'!AS58+SUM(M$34:M59),0)</f>
        <v>405525.12068596995</v>
      </c>
      <c r="AF59" s="473">
        <f>MAX('4-time of renovation'!AT58+SUM(N$34:N59),0)</f>
        <v>453348.76823206432</v>
      </c>
      <c r="AG59" s="344">
        <f t="shared" si="3"/>
        <v>0</v>
      </c>
      <c r="AH59" s="344">
        <f t="shared" si="4"/>
        <v>0</v>
      </c>
      <c r="AI59" s="354">
        <f>GasEmissions*($AG59)+'stock-flow model'!$B27*($AH59)/1000</f>
        <v>0</v>
      </c>
      <c r="AJ59" s="344">
        <f>O59*'Appliance Stock Profile'!$B$21+P59*'Appliance Stock Profile'!$B$20+Q59*'Appliance Stock Profile'!$C$21+R59*'Appliance Stock Profile'!$C$20+J59*'Appliance Stock Profile'!$D$20</f>
        <v>0</v>
      </c>
      <c r="AK59" s="344">
        <f t="shared" si="5"/>
        <v>0</v>
      </c>
      <c r="AL59" s="354">
        <f>GasEmissions*($AG59+$AJ59)+'stock-flow model'!$B27*($AH59+$AK59)/1000</f>
        <v>0</v>
      </c>
      <c r="AM59" s="354">
        <f>MAX(GasEmissions*(SUM($AG$34:$AG59)+SUM(AJ$34:AJ59))+'stock-flow model'!$B27*(SUM($AH$34:$AH59)+SUM(AK$34:AK59))/1000,-'4-time of renovation'!BA58)</f>
        <v>-18212.407281311029</v>
      </c>
      <c r="AN59" s="474">
        <f>'4-time of renovation'!BA58+AM59</f>
        <v>117141.31699305633</v>
      </c>
      <c r="AO59" s="354">
        <f>MAX(C59+SUM(J$34:J59),0)</f>
        <v>391902.21097526886</v>
      </c>
      <c r="AP59" s="354">
        <f t="shared" si="6"/>
        <v>115995.23790214479</v>
      </c>
      <c r="AQ59" s="354">
        <f t="shared" si="7"/>
        <v>395.72718015164719</v>
      </c>
      <c r="AR59" s="472">
        <f>IFERROR(AN59*'Housing Stock Profile'!$D$8*SUMPRODUCT('Appliance Stock Profile'!$B$20:$D$20,Z59:AB59)/('Housing Stock Profile'!$D$8*SUMPRODUCT('Appliance Stock Profile'!$B$20:$D$20,Z59:AB59)+'stock-flow model'!$B27*SUMPRODUCT(AC59:AF59,'Appliance Stock Profile'!$E$20:$H$20)/1000),0)</f>
        <v>117141.31699305633</v>
      </c>
      <c r="AS59" s="475">
        <f t="shared" si="8"/>
        <v>0</v>
      </c>
    </row>
    <row r="60" spans="2:45" hidden="1" x14ac:dyDescent="0.3"/>
    <row r="61" spans="2:45" hidden="1" x14ac:dyDescent="0.3">
      <c r="F61" s="354">
        <f>SUM(F34:F60)</f>
        <v>153927.10938602986</v>
      </c>
      <c r="G61" s="354">
        <f>SUM(G34:G60)</f>
        <v>121721.30874427686</v>
      </c>
      <c r="H61" s="354">
        <f>SUM(H34:H60)</f>
        <v>0</v>
      </c>
      <c r="I61" s="354">
        <f>SUM(I34:I60)</f>
        <v>0</v>
      </c>
      <c r="J61" s="354">
        <f t="shared" ref="J61:N61" si="16">SUM(J34:J60)</f>
        <v>0</v>
      </c>
      <c r="K61" s="354">
        <f t="shared" si="16"/>
        <v>0</v>
      </c>
      <c r="L61" s="354">
        <f t="shared" si="16"/>
        <v>0</v>
      </c>
      <c r="M61" s="354">
        <f t="shared" si="16"/>
        <v>0</v>
      </c>
      <c r="N61" s="354">
        <f t="shared" si="16"/>
        <v>0</v>
      </c>
      <c r="O61" s="354"/>
      <c r="P61" s="354"/>
      <c r="Q61" s="354"/>
      <c r="R61" s="354"/>
    </row>
  </sheetData>
  <mergeCells count="7">
    <mergeCell ref="S32:Y32"/>
    <mergeCell ref="Z32:AF32"/>
    <mergeCell ref="B1:C1"/>
    <mergeCell ref="B2:C2"/>
    <mergeCell ref="B3:C3"/>
    <mergeCell ref="B11:C11"/>
    <mergeCell ref="H32:R32"/>
  </mergeCells>
  <hyperlinks>
    <hyperlink ref="B2:C2" location="'Policy Impact Dashboard'!A1" display="Back to Policy Impact Dashboard" xr:uid="{A82D2293-2937-4CB0-ABB4-F858BAFD1237}"/>
  </hyperlink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ltText="">
                <anchor moveWithCells="1">
                  <from>
                    <xdr:col>2</xdr:col>
                    <xdr:colOff>678180</xdr:colOff>
                    <xdr:row>12</xdr:row>
                    <xdr:rowOff>15240</xdr:rowOff>
                  </from>
                  <to>
                    <xdr:col>2</xdr:col>
                    <xdr:colOff>967740</xdr:colOff>
                    <xdr:row>13</xdr:row>
                    <xdr:rowOff>0</xdr:rowOff>
                  </to>
                </anchor>
              </controlPr>
            </control>
          </mc:Choice>
        </mc:AlternateContent>
        <mc:AlternateContent xmlns:mc="http://schemas.openxmlformats.org/markup-compatibility/2006">
          <mc:Choice Requires="x14">
            <control shapeId="2086" r:id="rId5" name="Check Box 38">
              <controlPr defaultSize="0" autoFill="0" autoLine="0" autoPict="0" altText="">
                <anchor moveWithCells="1">
                  <from>
                    <xdr:col>2</xdr:col>
                    <xdr:colOff>678180</xdr:colOff>
                    <xdr:row>13</xdr:row>
                    <xdr:rowOff>15240</xdr:rowOff>
                  </from>
                  <to>
                    <xdr:col>2</xdr:col>
                    <xdr:colOff>967740</xdr:colOff>
                    <xdr:row>14</xdr:row>
                    <xdr:rowOff>0</xdr:rowOff>
                  </to>
                </anchor>
              </controlPr>
            </control>
          </mc:Choice>
        </mc:AlternateContent>
        <mc:AlternateContent xmlns:mc="http://schemas.openxmlformats.org/markup-compatibility/2006">
          <mc:Choice Requires="x14">
            <control shapeId="2087" r:id="rId6" name="Check Box 39">
              <controlPr defaultSize="0" autoFill="0" autoLine="0" autoPict="0" altText="">
                <anchor moveWithCells="1">
                  <from>
                    <xdr:col>2</xdr:col>
                    <xdr:colOff>678180</xdr:colOff>
                    <xdr:row>14</xdr:row>
                    <xdr:rowOff>15240</xdr:rowOff>
                  </from>
                  <to>
                    <xdr:col>2</xdr:col>
                    <xdr:colOff>967740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8F00A52-850A-4562-A1A4-787940B27AB1}">
          <x14:formula1>
            <xm:f>lists!$M$2:$M$3</xm:f>
          </x14:formula1>
          <xm:sqref>C5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DF95-5C0E-4ED5-A022-41B38E6CA17A}">
  <sheetPr codeName="Sheet13"/>
  <dimension ref="A1:E29"/>
  <sheetViews>
    <sheetView workbookViewId="0">
      <pane ySplit="2" topLeftCell="A12" activePane="bottomLeft" state="frozen"/>
      <selection pane="bottomLeft" activeCell="G6" sqref="G6"/>
    </sheetView>
  </sheetViews>
  <sheetFormatPr defaultColWidth="8.88671875" defaultRowHeight="14.4" x14ac:dyDescent="0.3"/>
  <cols>
    <col min="1" max="1" width="5" style="82" bestFit="1" customWidth="1"/>
    <col min="2" max="2" width="10.6640625" style="82" customWidth="1"/>
    <col min="3" max="3" width="8.88671875" style="82"/>
    <col min="4" max="4" width="11.109375" style="82" bestFit="1" customWidth="1"/>
    <col min="5" max="16384" width="8.88671875" style="82"/>
  </cols>
  <sheetData>
    <row r="1" spans="1:3" x14ac:dyDescent="0.3">
      <c r="B1" s="156"/>
    </row>
    <row r="2" spans="1:3" ht="57.6" x14ac:dyDescent="0.3">
      <c r="A2" s="83" t="s">
        <v>110</v>
      </c>
      <c r="B2" s="83" t="s">
        <v>255</v>
      </c>
      <c r="C2" s="83" t="s">
        <v>122</v>
      </c>
    </row>
    <row r="3" spans="1:3" x14ac:dyDescent="0.3">
      <c r="A3" s="37">
        <v>2020</v>
      </c>
      <c r="B3" s="36">
        <f>-(controls!$B$8)*($A3&gt;=StartEndofFlow)*'5-performance standards'!AR34</f>
        <v>0</v>
      </c>
      <c r="C3" s="36">
        <f>B3+'5-performance standards'!AN34</f>
        <v>1096122.7763067521</v>
      </c>
    </row>
    <row r="4" spans="1:3" x14ac:dyDescent="0.3">
      <c r="A4" s="37">
        <v>2021</v>
      </c>
      <c r="B4" s="36">
        <f>-(controls!$B$8)*($A4&gt;=StartEndofFlow)*'5-performance standards'!AR35</f>
        <v>0</v>
      </c>
      <c r="C4" s="36">
        <f>B4+'5-performance standards'!AN35</f>
        <v>1060934.5405731951</v>
      </c>
    </row>
    <row r="5" spans="1:3" x14ac:dyDescent="0.3">
      <c r="A5" s="37">
        <v>2022</v>
      </c>
      <c r="B5" s="36">
        <f>-(controls!$B$8)*($A5&gt;=StartEndofFlow)*'5-performance standards'!AR36</f>
        <v>0</v>
      </c>
      <c r="C5" s="36">
        <f>B5+'5-performance standards'!AN36</f>
        <v>967738.73824654298</v>
      </c>
    </row>
    <row r="6" spans="1:3" x14ac:dyDescent="0.3">
      <c r="A6" s="37">
        <v>2023</v>
      </c>
      <c r="B6" s="36">
        <f>-(controls!$B$8)*($A6&gt;=StartEndofFlow)*'5-performance standards'!AR37</f>
        <v>0</v>
      </c>
      <c r="C6" s="36">
        <f>B6+'5-performance standards'!AN37</f>
        <v>881426.56596336374</v>
      </c>
    </row>
    <row r="7" spans="1:3" x14ac:dyDescent="0.3">
      <c r="A7" s="37">
        <v>2024</v>
      </c>
      <c r="B7" s="36">
        <f>-(controls!$B$8)*($A7&gt;=StartEndofFlow)*'5-performance standards'!AR38</f>
        <v>0</v>
      </c>
      <c r="C7" s="36">
        <f>B7+'5-performance standards'!AN38</f>
        <v>801331.15091561608</v>
      </c>
    </row>
    <row r="8" spans="1:3" x14ac:dyDescent="0.3">
      <c r="A8" s="37">
        <v>2025</v>
      </c>
      <c r="B8" s="36">
        <f>-(controls!$B$8)*($A8&gt;=StartEndofFlow)*'5-performance standards'!AR39</f>
        <v>0</v>
      </c>
      <c r="C8" s="36">
        <f>B8+'5-performance standards'!AN39</f>
        <v>726850.87136669143</v>
      </c>
    </row>
    <row r="9" spans="1:3" x14ac:dyDescent="0.3">
      <c r="A9" s="37">
        <v>2026</v>
      </c>
      <c r="B9" s="36">
        <f>-(controls!$B$8)*($A9&gt;=StartEndofFlow)*'5-performance standards'!AR40</f>
        <v>0</v>
      </c>
      <c r="C9" s="36">
        <f>B9+'5-performance standards'!AN40</f>
        <v>657442.94145775679</v>
      </c>
    </row>
    <row r="10" spans="1:3" x14ac:dyDescent="0.3">
      <c r="A10" s="37">
        <v>2027</v>
      </c>
      <c r="B10" s="36">
        <f>-(controls!$B$8)*($A10&gt;=StartEndofFlow)*'5-performance standards'!AR41</f>
        <v>0</v>
      </c>
      <c r="C10" s="36">
        <f>B10+'5-performance standards'!AN41</f>
        <v>592617.62937616056</v>
      </c>
    </row>
    <row r="11" spans="1:3" x14ac:dyDescent="0.3">
      <c r="A11" s="37">
        <v>2028</v>
      </c>
      <c r="B11" s="36">
        <f>-(controls!$B$8)*($A11&gt;=StartEndofFlow)*'5-performance standards'!AR42</f>
        <v>0</v>
      </c>
      <c r="C11" s="36">
        <f>B11+'5-performance standards'!AN42</f>
        <v>531933.04568165657</v>
      </c>
    </row>
    <row r="12" spans="1:3" x14ac:dyDescent="0.3">
      <c r="A12" s="37">
        <v>2029</v>
      </c>
      <c r="B12" s="36">
        <f>-(controls!$B$8)*($A12&gt;=StartEndofFlow)*'5-performance standards'!AR43</f>
        <v>0</v>
      </c>
      <c r="C12" s="36">
        <f>B12+'5-performance standards'!AN43</f>
        <v>474990.44506086985</v>
      </c>
    </row>
    <row r="13" spans="1:3" x14ac:dyDescent="0.3">
      <c r="A13" s="37">
        <v>2030</v>
      </c>
      <c r="B13" s="36">
        <f>-(controls!$B$8)*($A13&gt;=StartEndofFlow)*'5-performance standards'!AR44</f>
        <v>0</v>
      </c>
      <c r="C13" s="36">
        <f>B13+'5-performance standards'!AN44</f>
        <v>421429.99055482255</v>
      </c>
    </row>
    <row r="14" spans="1:3" x14ac:dyDescent="0.3">
      <c r="A14" s="37">
        <v>2031</v>
      </c>
      <c r="B14" s="36">
        <f>-(controls!$B$8)*($A14&gt;=StartEndofFlow)*'5-performance standards'!AR45</f>
        <v>0</v>
      </c>
      <c r="C14" s="36">
        <f>B14+'5-performance standards'!AN45</f>
        <v>387699.26118685241</v>
      </c>
    </row>
    <row r="15" spans="1:3" x14ac:dyDescent="0.3">
      <c r="A15" s="37">
        <v>2032</v>
      </c>
      <c r="B15" s="36">
        <f>-(controls!$B$8)*($A15&gt;=StartEndofFlow)*'5-performance standards'!AR46</f>
        <v>0</v>
      </c>
      <c r="C15" s="36">
        <f>B15+'5-performance standards'!AN46</f>
        <v>357307.29243019543</v>
      </c>
    </row>
    <row r="16" spans="1:3" x14ac:dyDescent="0.3">
      <c r="A16" s="37">
        <v>2033</v>
      </c>
      <c r="B16" s="36">
        <f>-(controls!$B$8)*($A16&gt;=StartEndofFlow)*'5-performance standards'!AR47</f>
        <v>0</v>
      </c>
      <c r="C16" s="36">
        <f>B16+'5-performance standards'!AN47</f>
        <v>329710.12934554811</v>
      </c>
    </row>
    <row r="17" spans="1:5" x14ac:dyDescent="0.3">
      <c r="A17" s="37">
        <v>2034</v>
      </c>
      <c r="B17" s="36">
        <f>-(controls!$B$8)*($A17&gt;=StartEndofFlow)*'5-performance standards'!AR48</f>
        <v>0</v>
      </c>
      <c r="C17" s="36">
        <f>B17+'5-performance standards'!AN48</f>
        <v>304093.43515367858</v>
      </c>
    </row>
    <row r="18" spans="1:5" x14ac:dyDescent="0.3">
      <c r="A18" s="37">
        <v>2035</v>
      </c>
      <c r="B18" s="36">
        <f>-(controls!$B$8)*($A18&gt;=StartEndofFlow)*'5-performance standards'!AR49</f>
        <v>0</v>
      </c>
      <c r="C18" s="36">
        <f>B18+'5-performance standards'!AN49</f>
        <v>280307.20960714767</v>
      </c>
    </row>
    <row r="19" spans="1:5" x14ac:dyDescent="0.3">
      <c r="A19" s="37">
        <v>2036</v>
      </c>
      <c r="B19" s="36">
        <f>-(controls!$B$8)*($A19&gt;=StartEndofFlow)*'5-performance standards'!AR50</f>
        <v>0</v>
      </c>
      <c r="C19" s="36">
        <f>B19+'5-performance standards'!AN50</f>
        <v>258213.35662839955</v>
      </c>
    </row>
    <row r="20" spans="1:5" x14ac:dyDescent="0.3">
      <c r="A20" s="37">
        <v>2037</v>
      </c>
      <c r="B20" s="36">
        <f>-(controls!$B$8)*($A20&gt;=StartEndofFlow)*'5-performance standards'!AR51</f>
        <v>0</v>
      </c>
      <c r="C20" s="36">
        <f>B20+'5-performance standards'!AN51</f>
        <v>237684.70110861163</v>
      </c>
    </row>
    <row r="21" spans="1:5" x14ac:dyDescent="0.3">
      <c r="A21" s="37">
        <v>2038</v>
      </c>
      <c r="B21" s="36">
        <f>-(controls!$B$8)*($A21&gt;=StartEndofFlow)*'5-performance standards'!AR52</f>
        <v>0</v>
      </c>
      <c r="C21" s="36">
        <f>B21+'5-performance standards'!AN52</f>
        <v>218604.08979787814</v>
      </c>
    </row>
    <row r="22" spans="1:5" x14ac:dyDescent="0.3">
      <c r="A22" s="37">
        <v>2039</v>
      </c>
      <c r="B22" s="36">
        <f>-(controls!$B$8)*($A22&gt;=StartEndofFlow)*'5-performance standards'!AR53</f>
        <v>0</v>
      </c>
      <c r="C22" s="36">
        <f>B22+'5-performance standards'!AN53</f>
        <v>200863.5688394875</v>
      </c>
    </row>
    <row r="23" spans="1:5" x14ac:dyDescent="0.3">
      <c r="A23" s="37">
        <v>2040</v>
      </c>
      <c r="B23" s="36">
        <f>-(controls!$B$8)*($A23&gt;=StartEndofFlow)*'5-performance standards'!AR54</f>
        <v>0</v>
      </c>
      <c r="C23" s="36">
        <f>B23+'5-performance standards'!AN54</f>
        <v>184363.63118988744</v>
      </c>
    </row>
    <row r="24" spans="1:5" x14ac:dyDescent="0.3">
      <c r="A24" s="37">
        <v>2041</v>
      </c>
      <c r="B24" s="36">
        <f>-(controls!$B$8)*($A24&gt;=StartEndofFlow)*'5-performance standards'!AR55</f>
        <v>0</v>
      </c>
      <c r="C24" s="36">
        <f>B24+'5-performance standards'!AN55</f>
        <v>169012.46439194345</v>
      </c>
    </row>
    <row r="25" spans="1:5" x14ac:dyDescent="0.3">
      <c r="A25" s="37">
        <v>2042</v>
      </c>
      <c r="B25" s="36">
        <f>-(controls!$B$8)*($A25&gt;=StartEndofFlow)*'5-performance standards'!AR56</f>
        <v>0</v>
      </c>
      <c r="C25" s="36">
        <f>B25+'5-performance standards'!AN56</f>
        <v>154711.87896673239</v>
      </c>
    </row>
    <row r="26" spans="1:5" x14ac:dyDescent="0.3">
      <c r="A26" s="37">
        <v>2043</v>
      </c>
      <c r="B26" s="36">
        <f>-(controls!$B$8)*($A26&gt;=StartEndofFlow)*'5-performance standards'!AR57</f>
        <v>0</v>
      </c>
      <c r="C26" s="36">
        <f>B26+'5-performance standards'!AN57</f>
        <v>141343.51981855617</v>
      </c>
    </row>
    <row r="27" spans="1:5" x14ac:dyDescent="0.3">
      <c r="A27" s="37">
        <v>2044</v>
      </c>
      <c r="B27" s="36">
        <f>-(controls!$B$8)*($A27&gt;=StartEndofFlow)*'5-performance standards'!AR58</f>
        <v>0</v>
      </c>
      <c r="C27" s="36">
        <f>B27+'5-performance standards'!AN58</f>
        <v>128840.55837241406</v>
      </c>
    </row>
    <row r="28" spans="1:5" x14ac:dyDescent="0.3">
      <c r="A28" s="38">
        <v>2045</v>
      </c>
      <c r="B28" s="36">
        <f>-(controls!$B$8)*($A28&gt;=StartEndofFlow)*'5-performance standards'!AR59</f>
        <v>-117141.31699305633</v>
      </c>
      <c r="C28" s="36">
        <f>B28+'5-performance standards'!AN59</f>
        <v>0</v>
      </c>
    </row>
    <row r="29" spans="1:5" x14ac:dyDescent="0.3">
      <c r="D29" s="85"/>
      <c r="E29" s="15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A7BD-ABDE-4912-8233-A9FC9473502C}">
  <sheetPr codeName="Sheet4"/>
  <dimension ref="A1:S27"/>
  <sheetViews>
    <sheetView zoomScale="90" zoomScaleNormal="90" workbookViewId="0">
      <selection activeCell="F16" sqref="F16"/>
    </sheetView>
  </sheetViews>
  <sheetFormatPr defaultColWidth="8.88671875" defaultRowHeight="14.4" x14ac:dyDescent="0.3"/>
  <cols>
    <col min="1" max="1" width="3" style="257" customWidth="1"/>
    <col min="2" max="2" width="11.109375" style="257" customWidth="1"/>
    <col min="3" max="3" width="27.5546875" style="257" customWidth="1"/>
    <col min="4" max="4" width="16" style="257" customWidth="1"/>
    <col min="5" max="5" width="13" style="257" customWidth="1"/>
    <col min="6" max="6" width="17.77734375" style="257" customWidth="1"/>
    <col min="7" max="7" width="21" style="257" bestFit="1" customWidth="1"/>
    <col min="8" max="9" width="17.33203125" style="257" customWidth="1"/>
    <col min="10" max="10" width="15.33203125" style="257" customWidth="1"/>
    <col min="11" max="11" width="13.44140625" style="257" customWidth="1"/>
    <col min="12" max="13" width="14.44140625" style="257" customWidth="1"/>
    <col min="14" max="14" width="9.33203125" style="257" bestFit="1" customWidth="1"/>
    <col min="15" max="15" width="13.44140625" style="257" customWidth="1"/>
    <col min="16" max="16" width="11" style="257" customWidth="1"/>
    <col min="17" max="20" width="12.44140625" style="257" customWidth="1"/>
    <col min="21" max="16384" width="8.88671875" style="257"/>
  </cols>
  <sheetData>
    <row r="1" spans="1:19" ht="18" x14ac:dyDescent="0.35">
      <c r="A1" s="255"/>
      <c r="B1" s="584" t="str">
        <f>CONCATENATE("Housing Stock Profile for ",'Policy Impact Dashboard'!$B$5,", ",'Policy Impact Dashboard'!$B$4," County")</f>
        <v>Housing Stock Profile for z-All Alameda, Alameda County</v>
      </c>
      <c r="C1" s="584"/>
      <c r="D1" s="584"/>
      <c r="E1" s="584"/>
      <c r="F1" s="584"/>
      <c r="G1" s="255"/>
    </row>
    <row r="2" spans="1:19" ht="25.2" customHeight="1" thickBot="1" x14ac:dyDescent="0.35">
      <c r="A2" s="255"/>
      <c r="B2" s="561" t="s">
        <v>134</v>
      </c>
      <c r="C2" s="562"/>
      <c r="D2" s="562"/>
      <c r="E2" s="562"/>
      <c r="F2" s="631"/>
      <c r="G2" s="255"/>
    </row>
    <row r="3" spans="1:19" ht="39.6" customHeight="1" x14ac:dyDescent="0.3">
      <c r="A3" s="255"/>
      <c r="B3" s="642" t="s">
        <v>569</v>
      </c>
      <c r="C3" s="642"/>
      <c r="D3" s="642"/>
      <c r="E3" s="642"/>
      <c r="F3" s="642"/>
      <c r="G3" s="258"/>
    </row>
    <row r="4" spans="1:19" ht="12.6" customHeight="1" thickBot="1" x14ac:dyDescent="0.35">
      <c r="A4" s="255"/>
      <c r="B4" s="365"/>
      <c r="C4" s="365"/>
      <c r="D4" s="365"/>
      <c r="E4" s="365"/>
      <c r="F4" s="365"/>
      <c r="G4" s="258"/>
    </row>
    <row r="5" spans="1:19" ht="25.8" customHeight="1" x14ac:dyDescent="0.3">
      <c r="A5" s="255"/>
      <c r="B5" s="632" t="s">
        <v>48</v>
      </c>
      <c r="C5" s="633"/>
      <c r="D5" s="633"/>
      <c r="E5" s="633"/>
      <c r="F5" s="634"/>
      <c r="G5" s="261"/>
    </row>
    <row r="6" spans="1:19" x14ac:dyDescent="0.3">
      <c r="A6" s="255"/>
      <c r="B6" s="638" t="s">
        <v>49</v>
      </c>
      <c r="C6" s="636" t="s">
        <v>50</v>
      </c>
      <c r="D6" s="635" t="s">
        <v>51</v>
      </c>
      <c r="E6" s="635"/>
      <c r="F6" s="640" t="s">
        <v>52</v>
      </c>
      <c r="G6" s="261"/>
    </row>
    <row r="7" spans="1:19" x14ac:dyDescent="0.3">
      <c r="A7" s="255"/>
      <c r="B7" s="639"/>
      <c r="C7" s="637"/>
      <c r="D7" s="477" t="s">
        <v>504</v>
      </c>
      <c r="E7" s="477" t="s">
        <v>505</v>
      </c>
      <c r="F7" s="641"/>
      <c r="G7" s="261"/>
    </row>
    <row r="8" spans="1:19" x14ac:dyDescent="0.3">
      <c r="A8" s="255"/>
      <c r="B8" s="478" t="s">
        <v>53</v>
      </c>
      <c r="C8" s="479" t="str">
        <f>VLOOKUP('Policy Impact Dashboard'!B5,'City Profile'!$A$2:$E$118,4)</f>
        <v>Pacific Gas &amp; Electric</v>
      </c>
      <c r="D8" s="480">
        <f>IF(ISBLANK('Housing Stock Profile'!E8),'Housing Stock Defaults'!G3,'Housing Stock Profile'!E8)*controls!$B$10</f>
        <v>5.3E-3</v>
      </c>
      <c r="E8" s="494"/>
      <c r="F8" s="481" t="str">
        <f>VLOOKUP($C$8,'Utility Profile'!$F$1:$H$3,3,FALSE)</f>
        <v>Mt CO2e / Therm</v>
      </c>
      <c r="G8" s="272"/>
    </row>
    <row r="9" spans="1:19" ht="15" thickBot="1" x14ac:dyDescent="0.35">
      <c r="B9" s="482" t="s">
        <v>55</v>
      </c>
      <c r="C9" s="483" t="str">
        <f>VLOOKUP('Policy Impact Dashboard'!B5,'City Profile'!$A$2:$E$118,3)</f>
        <v>East Bay Community Energy</v>
      </c>
      <c r="D9" s="484">
        <f>IF(ISBLANK('Housing Stock Profile'!E9),'Housing Stock Defaults'!G4,'Housing Stock Profile'!E9)*controls!$B$11</f>
        <v>5.531111937658191E-2</v>
      </c>
      <c r="E9" s="495"/>
      <c r="F9" s="485" t="str">
        <f>VLOOKUP($C$9,'Utility Profile'!$A$1:$C$13,3,FALSE)</f>
        <v>Mt CO2e / MWh</v>
      </c>
      <c r="G9" s="272"/>
    </row>
    <row r="10" spans="1:19" ht="12.6" customHeight="1" thickBot="1" x14ac:dyDescent="0.35">
      <c r="B10" s="271"/>
      <c r="C10" s="331"/>
      <c r="D10" s="331"/>
      <c r="E10" s="271"/>
      <c r="F10" s="272"/>
      <c r="G10" s="272"/>
      <c r="H10" s="272"/>
      <c r="I10" s="272"/>
      <c r="J10" s="261"/>
      <c r="K10" s="261"/>
      <c r="L10" s="261"/>
      <c r="M10" s="261"/>
      <c r="N10" s="261"/>
      <c r="O10" s="331"/>
    </row>
    <row r="11" spans="1:19" ht="22.8" customHeight="1" x14ac:dyDescent="0.3">
      <c r="A11" s="258"/>
      <c r="B11" s="628" t="s">
        <v>589</v>
      </c>
      <c r="C11" s="629"/>
      <c r="D11" s="629"/>
      <c r="E11" s="629"/>
      <c r="F11" s="630"/>
      <c r="G11" s="407"/>
      <c r="H11" s="486"/>
      <c r="I11" s="331"/>
      <c r="J11" s="331"/>
      <c r="K11" s="261"/>
      <c r="L11" s="261"/>
      <c r="M11" s="261"/>
      <c r="N11" s="261"/>
      <c r="O11" s="261"/>
      <c r="P11" s="261"/>
      <c r="R11" s="261"/>
    </row>
    <row r="12" spans="1:19" x14ac:dyDescent="0.3">
      <c r="A12" s="258"/>
      <c r="B12" s="649"/>
      <c r="C12" s="650"/>
      <c r="D12" s="661" t="s">
        <v>588</v>
      </c>
      <c r="E12" s="661"/>
      <c r="F12" s="653" t="s">
        <v>60</v>
      </c>
      <c r="G12" s="407"/>
      <c r="H12" s="261"/>
      <c r="L12" s="261"/>
      <c r="M12" s="261"/>
      <c r="N12" s="261"/>
      <c r="O12" s="261"/>
      <c r="P12" s="261"/>
      <c r="Q12" s="261"/>
      <c r="S12" s="261"/>
    </row>
    <row r="13" spans="1:19" x14ac:dyDescent="0.3">
      <c r="A13" s="258"/>
      <c r="B13" s="651"/>
      <c r="C13" s="652"/>
      <c r="D13" s="487" t="s">
        <v>504</v>
      </c>
      <c r="E13" s="487" t="s">
        <v>505</v>
      </c>
      <c r="F13" s="654"/>
      <c r="G13" s="407"/>
      <c r="H13" s="261"/>
      <c r="L13" s="261"/>
      <c r="M13" s="261"/>
      <c r="N13" s="261"/>
      <c r="O13" s="261"/>
      <c r="P13" s="261"/>
      <c r="Q13" s="261"/>
      <c r="S13" s="261"/>
    </row>
    <row r="14" spans="1:19" x14ac:dyDescent="0.3">
      <c r="A14" s="258"/>
      <c r="B14" s="655" t="s">
        <v>68</v>
      </c>
      <c r="C14" s="656"/>
      <c r="D14" s="314">
        <f>IF(ISBLANK('Housing Stock Profile'!E14),'Housing Stock Defaults'!B9,'Housing Stock Profile'!E14)</f>
        <v>413326.49855931586</v>
      </c>
      <c r="E14" s="493"/>
      <c r="F14" s="488"/>
      <c r="G14" s="407"/>
      <c r="H14" s="261"/>
      <c r="L14" s="261"/>
      <c r="M14" s="261"/>
      <c r="N14" s="261"/>
      <c r="O14" s="261"/>
      <c r="P14" s="261"/>
      <c r="Q14" s="261"/>
      <c r="S14" s="261"/>
    </row>
    <row r="15" spans="1:19" x14ac:dyDescent="0.3">
      <c r="A15" s="258"/>
      <c r="B15" s="655" t="s">
        <v>71</v>
      </c>
      <c r="C15" s="656"/>
      <c r="D15" s="314">
        <f>IF(ISBLANK('Housing Stock Profile'!E15),'Housing Stock Defaults'!B10,'Housing Stock Profile'!E15)</f>
        <v>128272.59115502487</v>
      </c>
      <c r="E15" s="493"/>
      <c r="F15" s="489">
        <f>D15/D$14</f>
        <v>0.3103420458212327</v>
      </c>
      <c r="G15" s="407"/>
      <c r="H15" s="261"/>
      <c r="L15" s="261"/>
      <c r="M15" s="261"/>
      <c r="N15" s="261"/>
      <c r="O15" s="261"/>
      <c r="P15" s="261"/>
      <c r="Q15" s="261"/>
      <c r="S15" s="261"/>
    </row>
    <row r="16" spans="1:19" x14ac:dyDescent="0.3">
      <c r="A16" s="258"/>
      <c r="B16" s="655" t="s">
        <v>74</v>
      </c>
      <c r="C16" s="656"/>
      <c r="D16" s="490">
        <f>IF(ISBLANK('Housing Stock Profile'!E16),'Housing Stock Defaults'!B11,'Housing Stock Profile'!E16)</f>
        <v>285053.90740429098</v>
      </c>
      <c r="E16" s="493"/>
      <c r="F16" s="489">
        <f>D16/D$14</f>
        <v>0.6896579541787673</v>
      </c>
      <c r="G16" s="407"/>
      <c r="H16" s="261"/>
      <c r="L16" s="261"/>
      <c r="M16" s="261"/>
      <c r="N16" s="261"/>
      <c r="O16" s="261"/>
      <c r="P16" s="261"/>
      <c r="Q16" s="261"/>
      <c r="S16" s="261"/>
    </row>
    <row r="17" spans="1:19" x14ac:dyDescent="0.3">
      <c r="A17" s="258"/>
      <c r="B17" s="655" t="s">
        <v>77</v>
      </c>
      <c r="C17" s="656"/>
      <c r="D17" s="314">
        <f>IF(ISBLANK('Housing Stock Profile'!E17),'Housing Stock Defaults'!B12,'Housing Stock Profile'!E17)</f>
        <v>18931.728479919897</v>
      </c>
      <c r="E17" s="493"/>
      <c r="F17" s="489">
        <f>D17/D$14</f>
        <v>4.5803326295091221E-2</v>
      </c>
      <c r="G17" s="407"/>
      <c r="H17" s="261"/>
      <c r="L17" s="261"/>
      <c r="M17" s="261"/>
      <c r="N17" s="261"/>
      <c r="O17" s="261"/>
      <c r="P17" s="261"/>
      <c r="Q17" s="261"/>
      <c r="S17" s="261"/>
    </row>
    <row r="18" spans="1:19" x14ac:dyDescent="0.3">
      <c r="A18" s="258"/>
      <c r="B18" s="655" t="s">
        <v>82</v>
      </c>
      <c r="C18" s="656"/>
      <c r="D18" s="314">
        <f>IF(ISBLANK('Housing Stock Profile'!E18),'Housing Stock Defaults'!B15,'Housing Stock Profile'!E18)</f>
        <v>1600.8907869099392</v>
      </c>
      <c r="E18" s="493"/>
      <c r="F18" s="489">
        <f>D18/D$14</f>
        <v>3.8731869175820523E-3</v>
      </c>
      <c r="G18" s="407"/>
      <c r="H18" s="261"/>
      <c r="S18" s="261"/>
    </row>
    <row r="19" spans="1:19" x14ac:dyDescent="0.3">
      <c r="A19" s="258"/>
      <c r="B19" s="655" t="s">
        <v>79</v>
      </c>
      <c r="C19" s="656"/>
      <c r="D19" s="314">
        <f>IF(ISBLANK('Housing Stock Profile'!E19),'Housing Stock Defaults'!B13,'Housing Stock Profile'!E19)</f>
        <v>3932.4035119467144</v>
      </c>
      <c r="E19" s="493"/>
      <c r="F19" s="489">
        <f>D19/D$14</f>
        <v>9.5140367860600192E-3</v>
      </c>
      <c r="G19" s="407"/>
      <c r="H19" s="261"/>
      <c r="L19" s="261"/>
      <c r="M19" s="261"/>
      <c r="N19" s="261"/>
      <c r="O19" s="261"/>
      <c r="P19" s="261"/>
      <c r="Q19" s="261"/>
      <c r="S19" s="261"/>
    </row>
    <row r="20" spans="1:19" x14ac:dyDescent="0.3">
      <c r="A20" s="258"/>
      <c r="B20" s="655" t="s">
        <v>80</v>
      </c>
      <c r="C20" s="656"/>
      <c r="D20" s="314">
        <f>IF(ISBLANK('Housing Stock Profile'!E20),'Housing Stock Defaults'!B14,'Housing Stock Profile'!E20)</f>
        <v>27835.152280640395</v>
      </c>
      <c r="E20" s="493"/>
      <c r="F20" s="489">
        <f>D20/Rentals</f>
        <v>0.217</v>
      </c>
      <c r="G20" s="407"/>
      <c r="H20" s="261"/>
      <c r="L20" s="261"/>
      <c r="S20" s="261"/>
    </row>
    <row r="21" spans="1:19" x14ac:dyDescent="0.3">
      <c r="A21" s="258"/>
      <c r="B21" s="657" t="s">
        <v>84</v>
      </c>
      <c r="C21" s="658"/>
      <c r="D21" s="491">
        <f>SUM('Appliance Stock Profile'!E9,'Appliance Stock Profile'!E10,'Appliance Stock Profile'!E11)*D8+(('Appliance Stock Profile'!E15+'Appliance Stock Profile'!E12*('Appliance Stock Profile'!C12-'Appliance Stock Profile'!C13)/'Appliance Stock Profile'!C9)*D9)/1000</f>
        <v>3.1111636988067981</v>
      </c>
      <c r="E21" s="643" t="s">
        <v>85</v>
      </c>
      <c r="F21" s="644"/>
      <c r="G21" s="407"/>
      <c r="H21" s="261"/>
      <c r="M21" s="272"/>
      <c r="N21" s="272"/>
      <c r="O21" s="272"/>
      <c r="P21" s="272"/>
      <c r="Q21" s="272"/>
      <c r="R21" s="272"/>
    </row>
    <row r="22" spans="1:19" x14ac:dyDescent="0.3">
      <c r="A22" s="258"/>
      <c r="B22" s="657" t="s">
        <v>86</v>
      </c>
      <c r="C22" s="658"/>
      <c r="D22" s="491">
        <f>('Appliance Stock Profile'!E12+'Appliance Stock Profile'!E13+'Appliance Stock Profile'!E14+'Appliance Stock Profile'!E15)*D9/1000</f>
        <v>0.52631303188290957</v>
      </c>
      <c r="E22" s="645"/>
      <c r="F22" s="646"/>
      <c r="G22" s="407"/>
      <c r="H22" s="407"/>
      <c r="I22" s="272"/>
      <c r="J22" s="272"/>
      <c r="K22" s="272"/>
      <c r="L22" s="272"/>
    </row>
    <row r="23" spans="1:19" ht="15" thickBot="1" x14ac:dyDescent="0.35">
      <c r="A23" s="258"/>
      <c r="B23" s="659" t="s">
        <v>87</v>
      </c>
      <c r="C23" s="660"/>
      <c r="D23" s="492">
        <f>('Appliance Stock Profile'!C9*'Appliance Stock Profile'!E9+'Appliance Stock Profile'!C10*'Appliance Stock Profile'!E10+'Appliance Stock Profile'!C11*'Appliance Stock Profile'!E11)*D8+('Appliance Stock Profile'!C12*'Appliance Stock Profile'!E12+'Appliance Stock Profile'!C13*'Appliance Stock Profile'!E13+'Appliance Stock Profile'!C14*'Appliance Stock Profile'!E14+'Appliance Stock Profile'!C15*'Appliance Stock Profile'!E15)*D9/1000</f>
        <v>2.7072282759659672</v>
      </c>
      <c r="E23" s="647"/>
      <c r="F23" s="648"/>
      <c r="G23" s="407"/>
      <c r="H23" s="261"/>
    </row>
    <row r="24" spans="1:19" x14ac:dyDescent="0.3">
      <c r="B24" s="272"/>
      <c r="C24" s="272"/>
      <c r="D24" s="272"/>
      <c r="E24" s="272"/>
      <c r="F24" s="272"/>
      <c r="G24" s="272"/>
      <c r="H24" s="272"/>
      <c r="I24" s="272"/>
    </row>
    <row r="25" spans="1:19" x14ac:dyDescent="0.3">
      <c r="G25" s="272"/>
    </row>
    <row r="27" spans="1:19" ht="21.6" customHeight="1" x14ac:dyDescent="0.3"/>
  </sheetData>
  <mergeCells count="23">
    <mergeCell ref="E21:F23"/>
    <mergeCell ref="B12:C13"/>
    <mergeCell ref="F12:F13"/>
    <mergeCell ref="B19:C19"/>
    <mergeCell ref="B20:C20"/>
    <mergeCell ref="B21:C21"/>
    <mergeCell ref="B22:C22"/>
    <mergeCell ref="B23:C23"/>
    <mergeCell ref="B14:C14"/>
    <mergeCell ref="B15:C15"/>
    <mergeCell ref="B16:C16"/>
    <mergeCell ref="B17:C17"/>
    <mergeCell ref="B18:C18"/>
    <mergeCell ref="D12:E12"/>
    <mergeCell ref="B11:F11"/>
    <mergeCell ref="B1:F1"/>
    <mergeCell ref="B2:F2"/>
    <mergeCell ref="B5:F5"/>
    <mergeCell ref="D6:E6"/>
    <mergeCell ref="C6:C7"/>
    <mergeCell ref="B6:B7"/>
    <mergeCell ref="F6:F7"/>
    <mergeCell ref="B3:F3"/>
  </mergeCells>
  <dataValidations count="1">
    <dataValidation allowBlank="1" showErrorMessage="1" sqref="D8:E9 E14:F18 D18:E18 D14:D17 F19:F20 D19:D23 E21" xr:uid="{B6676E57-4789-461E-8A0E-30B3058BEC1E}"/>
  </dataValidations>
  <hyperlinks>
    <hyperlink ref="B2:E2" location="'Policy Impact Dashboard'!A1" display="Back to Policy Impact Dashboard" xr:uid="{0EF82465-3C19-4606-BFD0-23310A5465E3}"/>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FFCCA-1D37-4A8F-B41A-ED1784F3B9A6}">
  <dimension ref="A1:P21"/>
  <sheetViews>
    <sheetView workbookViewId="0">
      <selection activeCell="B28" sqref="B28"/>
    </sheetView>
  </sheetViews>
  <sheetFormatPr defaultRowHeight="14.4" x14ac:dyDescent="0.3"/>
  <cols>
    <col min="1" max="1" width="23.6640625" style="257" customWidth="1"/>
    <col min="2" max="6" width="9.6640625" style="257" customWidth="1"/>
    <col min="7" max="7" width="12.6640625" style="257" customWidth="1"/>
    <col min="8" max="8" width="12.21875" style="257" customWidth="1"/>
    <col min="9" max="15" width="9.6640625" style="257" customWidth="1"/>
    <col min="16" max="16384" width="8.88671875" style="257"/>
  </cols>
  <sheetData>
    <row r="1" spans="1:16" ht="18" x14ac:dyDescent="0.35">
      <c r="A1" s="558" t="str">
        <f>CONCATENATE("Appliance Stock Inputs for ",'Policy Impact Dashboard'!$B$5,", ",'Policy Impact Dashboard'!$B$4," County")</f>
        <v>Appliance Stock Inputs for z-All Alameda, Alameda County</v>
      </c>
      <c r="B1" s="559"/>
      <c r="C1" s="559"/>
      <c r="D1" s="559"/>
      <c r="E1" s="559"/>
      <c r="F1" s="559"/>
      <c r="G1" s="559"/>
      <c r="H1" s="559"/>
      <c r="I1" s="559"/>
      <c r="J1" s="559"/>
      <c r="K1" s="559"/>
      <c r="L1" s="559"/>
      <c r="M1" s="559"/>
      <c r="N1" s="559"/>
      <c r="O1" s="560"/>
    </row>
    <row r="2" spans="1:16" x14ac:dyDescent="0.3">
      <c r="A2" s="561" t="s">
        <v>134</v>
      </c>
      <c r="B2" s="562"/>
      <c r="C2" s="562"/>
      <c r="D2" s="562"/>
      <c r="E2" s="562"/>
      <c r="F2" s="562"/>
      <c r="G2" s="562"/>
      <c r="H2" s="562"/>
      <c r="I2" s="562"/>
      <c r="J2" s="562"/>
      <c r="K2" s="562"/>
      <c r="L2" s="562"/>
      <c r="M2" s="562"/>
      <c r="N2" s="562"/>
      <c r="O2" s="631"/>
    </row>
    <row r="3" spans="1:16" x14ac:dyDescent="0.3">
      <c r="A3" s="331"/>
      <c r="B3" s="331"/>
      <c r="C3" s="331"/>
      <c r="D3" s="331"/>
      <c r="E3" s="331"/>
      <c r="F3" s="331"/>
      <c r="G3" s="331"/>
      <c r="H3" s="331"/>
      <c r="I3" s="331"/>
      <c r="J3" s="331"/>
      <c r="K3" s="331"/>
      <c r="L3" s="331"/>
      <c r="M3" s="331"/>
      <c r="N3" s="331"/>
      <c r="O3" s="331"/>
    </row>
    <row r="4" spans="1:16" ht="31.8" customHeight="1" x14ac:dyDescent="0.3">
      <c r="A4" s="664" t="s">
        <v>570</v>
      </c>
      <c r="B4" s="665"/>
      <c r="C4" s="665"/>
      <c r="D4" s="665"/>
      <c r="E4" s="665"/>
      <c r="F4" s="665"/>
      <c r="G4" s="665"/>
      <c r="H4" s="665"/>
      <c r="I4" s="665"/>
      <c r="J4" s="665"/>
      <c r="K4" s="665"/>
      <c r="L4" s="665"/>
      <c r="M4" s="665"/>
      <c r="N4" s="665"/>
      <c r="O4" s="666"/>
    </row>
    <row r="5" spans="1:16" ht="9" customHeight="1" thickBot="1" x14ac:dyDescent="0.35">
      <c r="A5" s="496"/>
      <c r="B5" s="497"/>
      <c r="C5" s="497"/>
      <c r="D5" s="497"/>
      <c r="E5" s="497"/>
      <c r="F5" s="497"/>
      <c r="G5" s="497"/>
      <c r="H5" s="497"/>
      <c r="I5" s="497"/>
      <c r="J5" s="497"/>
      <c r="K5" s="497"/>
      <c r="L5" s="497"/>
      <c r="M5" s="497"/>
      <c r="N5" s="497"/>
      <c r="O5" s="498"/>
      <c r="P5" s="261"/>
    </row>
    <row r="6" spans="1:16" x14ac:dyDescent="0.3">
      <c r="A6" s="628" t="s">
        <v>590</v>
      </c>
      <c r="B6" s="629"/>
      <c r="C6" s="629"/>
      <c r="D6" s="629"/>
      <c r="E6" s="629"/>
      <c r="F6" s="629"/>
      <c r="G6" s="629"/>
      <c r="H6" s="629"/>
      <c r="I6" s="629"/>
      <c r="J6" s="629"/>
      <c r="K6" s="629"/>
      <c r="L6" s="629"/>
      <c r="M6" s="629"/>
      <c r="N6" s="629"/>
      <c r="O6" s="630"/>
      <c r="P6" s="261"/>
    </row>
    <row r="7" spans="1:16" ht="32.4" customHeight="1" x14ac:dyDescent="0.3">
      <c r="A7" s="671"/>
      <c r="B7" s="667" t="s">
        <v>502</v>
      </c>
      <c r="C7" s="662" t="s">
        <v>60</v>
      </c>
      <c r="D7" s="663"/>
      <c r="E7" s="662" t="s">
        <v>61</v>
      </c>
      <c r="F7" s="663"/>
      <c r="G7" s="667" t="s">
        <v>62</v>
      </c>
      <c r="H7" s="667" t="s">
        <v>63</v>
      </c>
      <c r="I7" s="662" t="s">
        <v>108</v>
      </c>
      <c r="J7" s="663"/>
      <c r="K7" s="662" t="s">
        <v>65</v>
      </c>
      <c r="L7" s="663"/>
      <c r="M7" s="662" t="s">
        <v>66</v>
      </c>
      <c r="N7" s="663"/>
      <c r="O7" s="669" t="s">
        <v>67</v>
      </c>
      <c r="P7" s="261"/>
    </row>
    <row r="8" spans="1:16" ht="16.8" customHeight="1" x14ac:dyDescent="0.3">
      <c r="A8" s="672"/>
      <c r="B8" s="668"/>
      <c r="C8" s="499" t="s">
        <v>504</v>
      </c>
      <c r="D8" s="499" t="s">
        <v>505</v>
      </c>
      <c r="E8" s="499" t="s">
        <v>504</v>
      </c>
      <c r="F8" s="499" t="s">
        <v>505</v>
      </c>
      <c r="G8" s="668"/>
      <c r="H8" s="668"/>
      <c r="I8" s="499" t="s">
        <v>504</v>
      </c>
      <c r="J8" s="499" t="s">
        <v>505</v>
      </c>
      <c r="K8" s="499" t="s">
        <v>504</v>
      </c>
      <c r="L8" s="499" t="s">
        <v>505</v>
      </c>
      <c r="M8" s="499" t="s">
        <v>504</v>
      </c>
      <c r="N8" s="499" t="s">
        <v>505</v>
      </c>
      <c r="O8" s="670"/>
      <c r="P8" s="261"/>
    </row>
    <row r="9" spans="1:16" x14ac:dyDescent="0.3">
      <c r="A9" s="376" t="s">
        <v>72</v>
      </c>
      <c r="B9" s="500">
        <f>OccupiedUnits*FurnaceSaturation</f>
        <v>313301.48590796144</v>
      </c>
      <c r="C9" s="501">
        <f>IF(ISBLANK(D9),'Housing Stock Defaults'!G10,D9)</f>
        <v>0.75800000000000001</v>
      </c>
      <c r="D9" s="514"/>
      <c r="E9" s="500">
        <f>IF(ISBLANK(F9),'Housing Stock Defaults'!H10,F9)</f>
        <v>240.27157377371387</v>
      </c>
      <c r="F9" s="513"/>
      <c r="G9" s="500">
        <f>B9*FurnaceReplaceRate</f>
        <v>15665.074295398073</v>
      </c>
      <c r="H9" s="502">
        <f>1/I9</f>
        <v>0.05</v>
      </c>
      <c r="I9" s="500">
        <f>IF(ISBLANK(J9),'Housing Stock Defaults'!J10,J9)</f>
        <v>20</v>
      </c>
      <c r="J9" s="516"/>
      <c r="K9" s="503">
        <f>IF(ISBLANK(L9),'Housing Stock Defaults'!K10,L9)</f>
        <v>0.78</v>
      </c>
      <c r="L9" s="519"/>
      <c r="M9" s="503">
        <f>IF(ISBLANK(N9),'Housing Stock Defaults'!L10,N9)</f>
        <v>0.96</v>
      </c>
      <c r="N9" s="519"/>
      <c r="O9" s="504" t="s">
        <v>73</v>
      </c>
      <c r="P9" s="261"/>
    </row>
    <row r="10" spans="1:16" x14ac:dyDescent="0.3">
      <c r="A10" s="376" t="s">
        <v>75</v>
      </c>
      <c r="B10" s="500">
        <f>OccupiedUnits*DHWSaturation</f>
        <v>372820.50170050294</v>
      </c>
      <c r="C10" s="501">
        <f>IF(ISBLANK(D10),'Housing Stock Defaults'!G11,D10)</f>
        <v>0.90200000000000002</v>
      </c>
      <c r="D10" s="514"/>
      <c r="E10" s="500">
        <f>IF(ISBLANK(F10),'Housing Stock Defaults'!H11,F10)</f>
        <v>259.62362049561608</v>
      </c>
      <c r="F10" s="513"/>
      <c r="G10" s="500">
        <f>B10*DHWReplaceRate</f>
        <v>33892.772881863901</v>
      </c>
      <c r="H10" s="502">
        <f>1/I10</f>
        <v>9.0909090909090912E-2</v>
      </c>
      <c r="I10" s="500">
        <f>IF(ISBLANK(J10),'Housing Stock Defaults'!J11,J10)</f>
        <v>11</v>
      </c>
      <c r="J10" s="517"/>
      <c r="K10" s="503">
        <f>IF(ISBLANK(L10),'Housing Stock Defaults'!K11,L10)</f>
        <v>0.57499999999999996</v>
      </c>
      <c r="L10" s="519"/>
      <c r="M10" s="503">
        <f>IF(ISBLANK(N10),'Housing Stock Defaults'!L11,N10)</f>
        <v>0.96</v>
      </c>
      <c r="N10" s="519"/>
      <c r="O10" s="457" t="s">
        <v>76</v>
      </c>
      <c r="P10" s="261"/>
    </row>
    <row r="11" spans="1:16" x14ac:dyDescent="0.3">
      <c r="A11" s="376" t="s">
        <v>83</v>
      </c>
      <c r="B11" s="500">
        <f>OccupiedUnits*C11</f>
        <v>413326.49855931586</v>
      </c>
      <c r="C11" s="501">
        <f>IF(ISBLANK(D11),'Housing Stock Defaults'!G15,D11)</f>
        <v>1</v>
      </c>
      <c r="D11" s="515"/>
      <c r="E11" s="500">
        <f>IF(ISBLANK(F11),'Housing Stock Defaults'!H15,F11)</f>
        <v>26.04691821285844</v>
      </c>
      <c r="F11" s="513"/>
      <c r="G11" s="506"/>
      <c r="H11" s="506"/>
      <c r="I11" s="506"/>
      <c r="J11" s="506"/>
      <c r="K11" s="506"/>
      <c r="L11" s="506"/>
      <c r="M11" s="507"/>
      <c r="N11" s="507"/>
      <c r="O11" s="457"/>
      <c r="P11" s="261"/>
    </row>
    <row r="12" spans="1:16" x14ac:dyDescent="0.3">
      <c r="A12" s="376" t="s">
        <v>69</v>
      </c>
      <c r="B12" s="500">
        <f>OccupiedUnits*ACSaturation</f>
        <v>106638.23662830349</v>
      </c>
      <c r="C12" s="501">
        <f>IF(ISBLANK(D12),'Housing Stock Defaults'!G9,D12)</f>
        <v>0.25800000000000001</v>
      </c>
      <c r="D12" s="514"/>
      <c r="E12" s="500">
        <f>IF(ISBLANK(F12),'Housing Stock Defaults'!H9,F12)</f>
        <v>712.9261629221736</v>
      </c>
      <c r="F12" s="513"/>
      <c r="G12" s="500">
        <f>B12*ACReplaceRate</f>
        <v>7109.2157752202329</v>
      </c>
      <c r="H12" s="502">
        <f>1/I12</f>
        <v>6.6666666666666666E-2</v>
      </c>
      <c r="I12" s="500">
        <f>IF(ISBLANK(J12),'Housing Stock Defaults'!J9,J12)</f>
        <v>15</v>
      </c>
      <c r="J12" s="518"/>
      <c r="K12" s="503">
        <f>IF(ISBLANK(L12),'Housing Stock Defaults'!K9,L12)</f>
        <v>10</v>
      </c>
      <c r="L12" s="519"/>
      <c r="M12" s="503">
        <f>IF(ISBLANK(N12),'Housing Stock Defaults'!L9,N12)</f>
        <v>18</v>
      </c>
      <c r="N12" s="519"/>
      <c r="O12" s="457" t="s">
        <v>70</v>
      </c>
      <c r="P12" s="261"/>
    </row>
    <row r="13" spans="1:16" x14ac:dyDescent="0.3">
      <c r="A13" s="376" t="s">
        <v>651</v>
      </c>
      <c r="B13" s="500">
        <f>OccupiedUnits*C13</f>
        <v>100025.01265135444</v>
      </c>
      <c r="C13" s="505">
        <f>1-FurnaceSaturation</f>
        <v>0.24199999999999999</v>
      </c>
      <c r="D13" s="505"/>
      <c r="E13" s="500">
        <f>IF(ISBLANK(F13),'Housing Stock Defaults'!H12,F13)</f>
        <v>1716.0481121412502</v>
      </c>
      <c r="F13" s="513"/>
      <c r="G13" s="500">
        <f>B13*HPReplaceRate</f>
        <v>6668.3341767569627</v>
      </c>
      <c r="H13" s="502">
        <f t="shared" ref="H13:H14" si="0">1/I13</f>
        <v>6.6666666666666666E-2</v>
      </c>
      <c r="I13" s="500">
        <f>IF(ISBLANK(J13),'Housing Stock Defaults'!J12,J13)</f>
        <v>15</v>
      </c>
      <c r="J13" s="517"/>
      <c r="K13" s="503">
        <f>IF(ISBLANK(L13),'Housing Stock Defaults'!K12,L13)</f>
        <v>2.4</v>
      </c>
      <c r="L13" s="519"/>
      <c r="M13" s="503">
        <f>IF(ISBLANK(N13),'Housing Stock Defaults'!L12,N13)</f>
        <v>3.2</v>
      </c>
      <c r="N13" s="519"/>
      <c r="O13" s="457" t="s">
        <v>78</v>
      </c>
      <c r="P13" s="261"/>
    </row>
    <row r="14" spans="1:16" x14ac:dyDescent="0.3">
      <c r="A14" s="376" t="s">
        <v>662</v>
      </c>
      <c r="B14" s="500">
        <f>OccupiedUnits*C14</f>
        <v>40505.996858812941</v>
      </c>
      <c r="C14" s="505">
        <f>1-DHWSaturation</f>
        <v>9.7999999999999976E-2</v>
      </c>
      <c r="D14" s="505"/>
      <c r="E14" s="500">
        <f>IF(ISBLANK(F14),'Housing Stock Defaults'!H13,F14)</f>
        <v>1249.7594942519077</v>
      </c>
      <c r="F14" s="513"/>
      <c r="G14" s="500">
        <f>B14*HPWHReplaceRate</f>
        <v>4050.5996858812941</v>
      </c>
      <c r="H14" s="502">
        <f t="shared" si="0"/>
        <v>0.1</v>
      </c>
      <c r="I14" s="500">
        <f>IF(ISBLANK(J14),'Housing Stock Defaults'!J13,J14)</f>
        <v>10</v>
      </c>
      <c r="J14" s="517"/>
      <c r="K14" s="503">
        <f>IF(ISBLANK(L14),'Housing Stock Defaults'!K13,L14)</f>
        <v>2</v>
      </c>
      <c r="L14" s="519"/>
      <c r="M14" s="503">
        <f>IF(ISBLANK(N14),'Housing Stock Defaults'!L13,N14)</f>
        <v>3.5</v>
      </c>
      <c r="N14" s="519"/>
      <c r="O14" s="457"/>
      <c r="P14" s="261"/>
    </row>
    <row r="15" spans="1:16" x14ac:dyDescent="0.3">
      <c r="A15" s="376" t="s">
        <v>81</v>
      </c>
      <c r="B15" s="500">
        <f>OccupiedUnits*C15</f>
        <v>413326.49855931586</v>
      </c>
      <c r="C15" s="501">
        <f>IF(ISBLANK(D15),'Housing Stock Defaults'!G14,D15)</f>
        <v>1</v>
      </c>
      <c r="D15" s="505"/>
      <c r="E15" s="500">
        <f>IF(ISBLANK(F15),'Housing Stock Defaults'!H14,F15)</f>
        <v>5836.7675948777132</v>
      </c>
      <c r="F15" s="513"/>
      <c r="G15" s="506"/>
      <c r="H15" s="506"/>
      <c r="I15" s="506"/>
      <c r="J15" s="506"/>
      <c r="K15" s="506"/>
      <c r="L15" s="506"/>
      <c r="M15" s="507"/>
      <c r="N15" s="507"/>
      <c r="O15" s="457"/>
      <c r="P15" s="261"/>
    </row>
    <row r="16" spans="1:16" ht="15" thickBot="1" x14ac:dyDescent="0.35">
      <c r="A16" s="508" t="s">
        <v>578</v>
      </c>
      <c r="B16" s="509"/>
      <c r="C16" s="509"/>
      <c r="D16" s="509"/>
      <c r="E16" s="509"/>
      <c r="F16" s="509"/>
      <c r="G16" s="509"/>
      <c r="H16" s="510">
        <f>1-(1-H9)*(1-H12)</f>
        <v>0.1133333333333334</v>
      </c>
      <c r="I16" s="509"/>
      <c r="J16" s="509"/>
      <c r="K16" s="509"/>
      <c r="L16" s="509"/>
      <c r="M16" s="509"/>
      <c r="N16" s="509"/>
      <c r="O16" s="511"/>
      <c r="P16" s="261"/>
    </row>
    <row r="17" spans="1:15" x14ac:dyDescent="0.3">
      <c r="A17" s="272"/>
      <c r="B17" s="272"/>
      <c r="C17" s="272"/>
      <c r="D17" s="272"/>
      <c r="E17" s="272"/>
      <c r="F17" s="272"/>
      <c r="G17" s="272"/>
      <c r="H17" s="272"/>
      <c r="I17" s="272"/>
      <c r="J17" s="272"/>
      <c r="K17" s="272"/>
      <c r="L17" s="272"/>
      <c r="M17" s="272"/>
      <c r="N17" s="272"/>
      <c r="O17" s="272"/>
    </row>
    <row r="19" spans="1:15" ht="72" hidden="1" x14ac:dyDescent="0.3">
      <c r="B19" s="512" t="s">
        <v>458</v>
      </c>
      <c r="C19" s="512" t="s">
        <v>459</v>
      </c>
      <c r="D19" s="512" t="s">
        <v>460</v>
      </c>
      <c r="E19" s="512" t="s">
        <v>461</v>
      </c>
      <c r="F19" s="512" t="s">
        <v>462</v>
      </c>
      <c r="G19" s="512" t="s">
        <v>463</v>
      </c>
      <c r="H19" s="512" t="s">
        <v>464</v>
      </c>
    </row>
    <row r="20" spans="1:15" hidden="1" x14ac:dyDescent="0.3">
      <c r="A20" s="257" t="s">
        <v>533</v>
      </c>
      <c r="B20" s="354">
        <f>E9</f>
        <v>240.27157377371387</v>
      </c>
      <c r="C20" s="354">
        <f>E10</f>
        <v>259.62362049561608</v>
      </c>
      <c r="D20" s="354">
        <f>E11</f>
        <v>26.04691821285844</v>
      </c>
      <c r="E20" s="354">
        <f>E12</f>
        <v>712.9261629221736</v>
      </c>
      <c r="F20" s="354">
        <f>HP_UEC</f>
        <v>1716.0481121412502</v>
      </c>
      <c r="G20" s="354">
        <f>HPWH_UEC</f>
        <v>1249.7594942519077</v>
      </c>
      <c r="H20" s="354">
        <f>E15</f>
        <v>5836.7675948777132</v>
      </c>
    </row>
    <row r="21" spans="1:15" hidden="1" x14ac:dyDescent="0.3">
      <c r="A21" s="257" t="s">
        <v>534</v>
      </c>
      <c r="B21" s="354">
        <f>B20*K9/M9</f>
        <v>195.22065369114253</v>
      </c>
      <c r="C21" s="354">
        <f>C20*K10/M10</f>
        <v>155.50373102602006</v>
      </c>
      <c r="D21" s="354">
        <f>D20</f>
        <v>26.04691821285844</v>
      </c>
      <c r="E21" s="354">
        <f>E20*ACBaselineEff/ACPerformanceEff</f>
        <v>396.0700905123187</v>
      </c>
      <c r="F21" s="354">
        <f>F20*K13/M13</f>
        <v>1287.0360841059373</v>
      </c>
      <c r="G21" s="354">
        <f>G20*K14/M14</f>
        <v>714.14828242966155</v>
      </c>
      <c r="H21" s="354">
        <f>H20</f>
        <v>5836.7675948777132</v>
      </c>
    </row>
  </sheetData>
  <mergeCells count="14">
    <mergeCell ref="A1:O1"/>
    <mergeCell ref="A2:O2"/>
    <mergeCell ref="A6:O6"/>
    <mergeCell ref="C7:D7"/>
    <mergeCell ref="E7:F7"/>
    <mergeCell ref="I7:J7"/>
    <mergeCell ref="K7:L7"/>
    <mergeCell ref="M7:N7"/>
    <mergeCell ref="A4:O4"/>
    <mergeCell ref="B7:B8"/>
    <mergeCell ref="G7:G8"/>
    <mergeCell ref="H7:H8"/>
    <mergeCell ref="O7:O8"/>
    <mergeCell ref="A7:A8"/>
  </mergeCells>
  <dataValidations count="2">
    <dataValidation allowBlank="1" showErrorMessage="1" sqref="M13:M14 L12:M12 G9:L14 M9:N10 B9:F15" xr:uid="{B6676E57-4789-461E-8A0E-30B3058BEC1E}"/>
    <dataValidation allowBlank="1" showInputMessage="1" showErrorMessage="1" prompt="You can convert HSPF to COP by multiplying the HSPF number by 0.293" sqref="N13" xr:uid="{20E29B0C-E517-4B87-BA33-D1283E952DC7}"/>
  </dataValidations>
  <hyperlinks>
    <hyperlink ref="A2:C2" location="'Policy Impact Dashboard'!A1" display="Back to Policy Impact Dashboard" xr:uid="{7EEF5D33-1059-42C2-9A2F-928D8936CC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F2FF-2E1F-4E66-ADCC-6D3F8500F4EE}">
  <sheetPr codeName="Sheet15"/>
  <dimension ref="A1:M26"/>
  <sheetViews>
    <sheetView topLeftCell="D1" workbookViewId="0">
      <selection activeCell="E7" sqref="E7"/>
    </sheetView>
  </sheetViews>
  <sheetFormatPr defaultRowHeight="14.4" x14ac:dyDescent="0.3"/>
  <cols>
    <col min="2" max="2" width="23.88671875" bestFit="1" customWidth="1"/>
    <col min="3" max="3" width="18.33203125" bestFit="1" customWidth="1"/>
    <col min="5" max="5" width="22.109375" bestFit="1" customWidth="1"/>
    <col min="6" max="6" width="19.33203125" bestFit="1" customWidth="1"/>
    <col min="7" max="7" width="28.33203125" bestFit="1" customWidth="1"/>
  </cols>
  <sheetData>
    <row r="1" spans="1:13" x14ac:dyDescent="0.3">
      <c r="A1" s="1" t="s">
        <v>110</v>
      </c>
      <c r="B1" s="16" t="s">
        <v>216</v>
      </c>
      <c r="C1" s="16" t="s">
        <v>217</v>
      </c>
      <c r="D1" s="1" t="s">
        <v>56</v>
      </c>
      <c r="E1" s="1" t="s">
        <v>218</v>
      </c>
      <c r="F1" s="1" t="s">
        <v>219</v>
      </c>
      <c r="G1" s="1" t="s">
        <v>220</v>
      </c>
      <c r="H1" s="673" t="s">
        <v>221</v>
      </c>
      <c r="I1" s="674"/>
      <c r="J1" s="674"/>
      <c r="K1" s="675"/>
      <c r="L1" s="1"/>
      <c r="M1" s="1" t="s">
        <v>222</v>
      </c>
    </row>
    <row r="2" spans="1:13" x14ac:dyDescent="0.3">
      <c r="A2" s="82">
        <v>2000</v>
      </c>
      <c r="B2" s="82" t="s">
        <v>223</v>
      </c>
      <c r="C2" s="82" t="s">
        <v>224</v>
      </c>
      <c r="D2" s="82">
        <v>1</v>
      </c>
      <c r="E2" s="82" t="s">
        <v>225</v>
      </c>
      <c r="F2" s="82" t="s">
        <v>140</v>
      </c>
      <c r="G2" s="82" t="s">
        <v>171</v>
      </c>
      <c r="H2" s="37" t="str">
        <f>HLOOKUP('2-energy assessment'!$C$5,$H$4:$K$6,2,FALSE)</f>
        <v>Listing</v>
      </c>
      <c r="I2" s="5"/>
      <c r="J2" s="5"/>
      <c r="K2" s="6"/>
      <c r="L2" s="82"/>
      <c r="M2" s="82" t="s">
        <v>226</v>
      </c>
    </row>
    <row r="3" spans="1:13" x14ac:dyDescent="0.3">
      <c r="A3" s="82">
        <v>2001</v>
      </c>
      <c r="B3" s="82" t="s">
        <v>224</v>
      </c>
      <c r="C3" s="82" t="s">
        <v>227</v>
      </c>
      <c r="D3" s="82">
        <v>2</v>
      </c>
      <c r="E3" s="82" t="s">
        <v>195</v>
      </c>
      <c r="F3" s="82" t="s">
        <v>228</v>
      </c>
      <c r="G3" s="82" t="s">
        <v>225</v>
      </c>
      <c r="H3" s="40" t="str">
        <f>HLOOKUP('2-energy assessment'!$C$5,$H$4:$K$6,3,FALSE)</f>
        <v>Closing</v>
      </c>
      <c r="I3" s="5"/>
      <c r="J3" s="5"/>
      <c r="K3" s="6"/>
      <c r="L3" s="82"/>
      <c r="M3" s="82" t="s">
        <v>229</v>
      </c>
    </row>
    <row r="4" spans="1:13" x14ac:dyDescent="0.3">
      <c r="A4" s="82">
        <v>2002</v>
      </c>
      <c r="B4" s="82" t="s">
        <v>230</v>
      </c>
      <c r="C4" s="82" t="s">
        <v>231</v>
      </c>
      <c r="D4" s="82">
        <v>3</v>
      </c>
      <c r="E4" s="82" t="s">
        <v>136</v>
      </c>
      <c r="F4" s="82"/>
      <c r="G4" s="82" t="s">
        <v>195</v>
      </c>
      <c r="H4" s="37" t="s">
        <v>225</v>
      </c>
      <c r="I4" s="5" t="s">
        <v>195</v>
      </c>
      <c r="J4" s="5" t="s">
        <v>136</v>
      </c>
      <c r="K4" s="6" t="s">
        <v>233</v>
      </c>
      <c r="L4" s="82"/>
      <c r="M4" s="82"/>
    </row>
    <row r="5" spans="1:13" x14ac:dyDescent="0.3">
      <c r="A5" s="82">
        <v>2003</v>
      </c>
      <c r="B5" s="82" t="s">
        <v>232</v>
      </c>
      <c r="C5" s="82"/>
      <c r="D5" s="82">
        <v>4</v>
      </c>
      <c r="E5" s="82" t="s">
        <v>233</v>
      </c>
      <c r="F5" s="82"/>
      <c r="G5" s="82" t="s">
        <v>136</v>
      </c>
      <c r="H5" s="37" t="s">
        <v>142</v>
      </c>
      <c r="I5" s="5" t="s">
        <v>142</v>
      </c>
      <c r="J5" s="5" t="s">
        <v>142</v>
      </c>
      <c r="K5" s="6" t="s">
        <v>238</v>
      </c>
      <c r="L5" s="82"/>
      <c r="M5" s="82"/>
    </row>
    <row r="6" spans="1:13" x14ac:dyDescent="0.3">
      <c r="A6" s="82">
        <v>2004</v>
      </c>
      <c r="B6" s="82" t="s">
        <v>234</v>
      </c>
      <c r="C6" s="82"/>
      <c r="D6" s="82">
        <v>12</v>
      </c>
      <c r="E6" s="82" t="s">
        <v>558</v>
      </c>
      <c r="F6" s="82"/>
      <c r="G6" s="82"/>
      <c r="H6" s="38" t="s">
        <v>241</v>
      </c>
      <c r="I6" s="9" t="s">
        <v>242</v>
      </c>
      <c r="J6" s="9" t="s">
        <v>243</v>
      </c>
      <c r="K6" s="39" t="s">
        <v>509</v>
      </c>
      <c r="L6" s="82"/>
      <c r="M6" s="82"/>
    </row>
    <row r="7" spans="1:13" x14ac:dyDescent="0.3">
      <c r="A7" s="82">
        <v>2005</v>
      </c>
      <c r="B7" s="82" t="s">
        <v>235</v>
      </c>
      <c r="C7" s="82"/>
      <c r="D7" s="14" t="s">
        <v>236</v>
      </c>
      <c r="E7" s="82"/>
      <c r="F7" s="82"/>
      <c r="G7" s="82"/>
      <c r="H7" s="82"/>
      <c r="I7" s="82"/>
      <c r="J7" s="82"/>
      <c r="K7" s="82"/>
      <c r="L7" s="82"/>
      <c r="M7" s="82"/>
    </row>
    <row r="8" spans="1:13" x14ac:dyDescent="0.3">
      <c r="A8" s="82">
        <v>2006</v>
      </c>
      <c r="B8" s="82" t="s">
        <v>227</v>
      </c>
      <c r="C8" s="82"/>
      <c r="D8" s="15" t="s">
        <v>237</v>
      </c>
      <c r="E8" s="82"/>
      <c r="F8" s="82"/>
      <c r="G8" s="82"/>
      <c r="H8" s="82"/>
      <c r="I8" s="82"/>
      <c r="J8" s="82"/>
      <c r="K8" s="82"/>
      <c r="L8" s="82"/>
      <c r="M8" s="82"/>
    </row>
    <row r="9" spans="1:13" x14ac:dyDescent="0.3">
      <c r="A9" s="82">
        <v>2007</v>
      </c>
      <c r="B9" s="82" t="s">
        <v>239</v>
      </c>
      <c r="C9" s="82"/>
      <c r="D9" s="14" t="s">
        <v>240</v>
      </c>
      <c r="E9" s="82"/>
      <c r="F9" s="82"/>
      <c r="G9" s="82"/>
      <c r="H9" s="82"/>
      <c r="I9" s="82"/>
      <c r="J9" s="82"/>
      <c r="K9" s="82"/>
      <c r="L9" s="82"/>
      <c r="M9" s="82"/>
    </row>
    <row r="10" spans="1:13" x14ac:dyDescent="0.3">
      <c r="A10" s="82">
        <v>2008</v>
      </c>
      <c r="B10" s="82" t="s">
        <v>244</v>
      </c>
      <c r="C10" s="82"/>
      <c r="D10" s="14" t="s">
        <v>245</v>
      </c>
      <c r="E10" s="82"/>
      <c r="F10" s="82"/>
      <c r="G10" s="82"/>
      <c r="H10" s="82"/>
      <c r="I10" s="82"/>
      <c r="J10" s="82"/>
      <c r="K10" s="82"/>
      <c r="L10" s="82"/>
      <c r="M10" s="82"/>
    </row>
    <row r="11" spans="1:13" x14ac:dyDescent="0.3">
      <c r="A11" s="82">
        <v>2009</v>
      </c>
      <c r="B11" s="82" t="s">
        <v>246</v>
      </c>
      <c r="C11" s="82"/>
      <c r="D11" s="82"/>
      <c r="E11" s="82"/>
      <c r="F11" s="82"/>
      <c r="G11" s="82"/>
      <c r="H11" s="82"/>
      <c r="I11" s="82"/>
      <c r="J11" s="82"/>
      <c r="K11" s="82"/>
      <c r="L11" s="82"/>
      <c r="M11" s="82"/>
    </row>
    <row r="12" spans="1:13" x14ac:dyDescent="0.3">
      <c r="A12" s="82">
        <v>2010</v>
      </c>
      <c r="B12" s="82" t="s">
        <v>247</v>
      </c>
      <c r="C12" s="82"/>
      <c r="D12" s="82"/>
      <c r="E12" s="82"/>
      <c r="F12" s="82"/>
      <c r="G12" s="82"/>
      <c r="H12" s="82"/>
      <c r="I12" s="82"/>
      <c r="J12" s="82"/>
      <c r="K12" s="82"/>
      <c r="L12" s="82"/>
      <c r="M12" s="82"/>
    </row>
    <row r="13" spans="1:13" x14ac:dyDescent="0.3">
      <c r="A13" s="82">
        <v>2011</v>
      </c>
      <c r="B13" s="82" t="s">
        <v>248</v>
      </c>
      <c r="C13" s="82"/>
      <c r="D13" s="82"/>
      <c r="E13" s="82"/>
      <c r="F13" s="82"/>
      <c r="G13" s="82"/>
      <c r="H13" s="82"/>
      <c r="I13" s="82"/>
      <c r="J13" s="82"/>
      <c r="K13" s="82"/>
      <c r="L13" s="82"/>
      <c r="M13" s="82"/>
    </row>
    <row r="14" spans="1:13" x14ac:dyDescent="0.3">
      <c r="A14" s="82">
        <v>2012</v>
      </c>
      <c r="B14" s="82"/>
      <c r="C14" s="82"/>
      <c r="D14" s="82"/>
      <c r="E14" s="82"/>
      <c r="F14" s="82"/>
      <c r="G14" s="82"/>
      <c r="L14" s="82"/>
      <c r="M14" s="82"/>
    </row>
    <row r="15" spans="1:13" x14ac:dyDescent="0.3">
      <c r="A15" s="82">
        <v>2013</v>
      </c>
      <c r="B15" s="82"/>
      <c r="C15" s="82"/>
      <c r="D15" s="82"/>
      <c r="E15" s="82"/>
      <c r="F15" s="82"/>
      <c r="G15" s="82"/>
      <c r="L15" s="82"/>
      <c r="M15" s="82"/>
    </row>
    <row r="16" spans="1:13" x14ac:dyDescent="0.3">
      <c r="A16" s="82">
        <v>2014</v>
      </c>
      <c r="B16" s="82"/>
      <c r="C16" s="82"/>
      <c r="D16" s="82"/>
      <c r="E16" s="82"/>
      <c r="F16" s="82"/>
      <c r="G16" s="82"/>
      <c r="L16" s="82"/>
      <c r="M16" s="82"/>
    </row>
    <row r="17" spans="1:7" x14ac:dyDescent="0.3">
      <c r="A17" s="82">
        <v>2015</v>
      </c>
      <c r="B17" s="82"/>
      <c r="C17" s="82"/>
      <c r="D17" s="82"/>
      <c r="E17" s="82"/>
      <c r="F17" s="82"/>
      <c r="G17" s="82"/>
    </row>
    <row r="18" spans="1:7" x14ac:dyDescent="0.3">
      <c r="A18" s="82">
        <v>2016</v>
      </c>
      <c r="B18" s="82"/>
      <c r="C18" s="82"/>
      <c r="D18" s="82"/>
      <c r="E18" s="82"/>
      <c r="F18" s="82"/>
      <c r="G18" s="82"/>
    </row>
    <row r="19" spans="1:7" x14ac:dyDescent="0.3">
      <c r="A19" s="82">
        <v>2017</v>
      </c>
      <c r="B19" s="82"/>
      <c r="C19" s="82"/>
      <c r="D19" s="82"/>
      <c r="E19" s="82"/>
      <c r="F19" s="82"/>
      <c r="G19" s="82"/>
    </row>
    <row r="20" spans="1:7" x14ac:dyDescent="0.3">
      <c r="A20" s="82">
        <v>2018</v>
      </c>
      <c r="B20" s="82"/>
      <c r="C20" s="82"/>
      <c r="D20" s="82"/>
      <c r="E20" s="82"/>
      <c r="F20" s="82"/>
      <c r="G20" s="82"/>
    </row>
    <row r="21" spans="1:7" x14ac:dyDescent="0.3">
      <c r="A21" s="82">
        <v>2019</v>
      </c>
      <c r="B21" s="82"/>
      <c r="C21" s="82"/>
      <c r="D21" s="82"/>
      <c r="E21" s="82"/>
      <c r="F21" s="82"/>
      <c r="G21" s="82"/>
    </row>
    <row r="22" spans="1:7" x14ac:dyDescent="0.3">
      <c r="A22" s="82">
        <v>2020</v>
      </c>
      <c r="B22" s="82"/>
      <c r="C22" s="82"/>
      <c r="D22" s="82"/>
      <c r="E22" s="82"/>
      <c r="F22" s="82"/>
      <c r="G22" s="82"/>
    </row>
    <row r="23" spans="1:7" x14ac:dyDescent="0.3">
      <c r="A23" s="82">
        <v>2021</v>
      </c>
      <c r="B23" s="82"/>
      <c r="C23" s="82"/>
      <c r="D23" s="82"/>
      <c r="E23" s="82"/>
      <c r="F23" s="82"/>
      <c r="G23" s="82"/>
    </row>
    <row r="24" spans="1:7" x14ac:dyDescent="0.3">
      <c r="A24" s="82">
        <v>2022</v>
      </c>
      <c r="B24" s="82"/>
      <c r="C24" s="82"/>
      <c r="D24" s="82"/>
      <c r="E24" s="82"/>
      <c r="F24" s="82"/>
      <c r="G24" s="82"/>
    </row>
    <row r="25" spans="1:7" x14ac:dyDescent="0.3">
      <c r="A25" s="82">
        <v>2023</v>
      </c>
      <c r="B25" s="82"/>
      <c r="C25" s="82"/>
      <c r="D25" s="82"/>
      <c r="E25" s="82"/>
      <c r="F25" s="82"/>
      <c r="G25" s="82"/>
    </row>
    <row r="26" spans="1:7" x14ac:dyDescent="0.3">
      <c r="A26" s="82"/>
      <c r="B26" s="82"/>
      <c r="C26" s="82"/>
      <c r="D26" s="82"/>
      <c r="E26" s="82"/>
      <c r="F26" s="82"/>
      <c r="G26" s="82"/>
    </row>
  </sheetData>
  <mergeCells count="1">
    <mergeCell ref="H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C9F4A-EE24-4273-AF76-D9619B1001C5}">
  <dimension ref="A1:M20"/>
  <sheetViews>
    <sheetView zoomScale="90" zoomScaleNormal="90" workbookViewId="0">
      <selection activeCell="H10" sqref="H10"/>
    </sheetView>
  </sheetViews>
  <sheetFormatPr defaultColWidth="8.88671875" defaultRowHeight="14.4" x14ac:dyDescent="0.3"/>
  <cols>
    <col min="1" max="1" width="29.33203125" style="104" bestFit="1" customWidth="1"/>
    <col min="2" max="2" width="18.44140625" style="104" customWidth="1"/>
    <col min="3" max="3" width="16" style="104" customWidth="1"/>
    <col min="4" max="4" width="4.109375" style="104" customWidth="1"/>
    <col min="5" max="5" width="23.33203125" style="104" bestFit="1" customWidth="1"/>
    <col min="6" max="6" width="21" style="104" bestFit="1" customWidth="1"/>
    <col min="7" max="7" width="17.33203125" style="104" customWidth="1"/>
    <col min="8" max="8" width="15.33203125" style="104" customWidth="1"/>
    <col min="9" max="9" width="13.44140625" style="104" customWidth="1"/>
    <col min="10" max="10" width="8.6640625" style="104" customWidth="1"/>
    <col min="11" max="11" width="12" style="104" customWidth="1"/>
    <col min="12" max="12" width="14.44140625" style="104" customWidth="1"/>
    <col min="13" max="13" width="12.109375" style="104" customWidth="1"/>
    <col min="14" max="17" width="12.44140625" style="104" customWidth="1"/>
    <col min="18" max="16384" width="8.88671875" style="104"/>
  </cols>
  <sheetData>
    <row r="1" spans="1:13" x14ac:dyDescent="0.3">
      <c r="A1" s="676" t="s">
        <v>19</v>
      </c>
      <c r="B1" s="677"/>
      <c r="C1" s="106"/>
      <c r="E1" s="678" t="s">
        <v>48</v>
      </c>
      <c r="F1" s="679"/>
      <c r="G1" s="679"/>
      <c r="H1" s="680"/>
    </row>
    <row r="2" spans="1:13" x14ac:dyDescent="0.3">
      <c r="A2" s="129" t="s">
        <v>20</v>
      </c>
      <c r="B2" s="130" t="str">
        <f>'Policy Impact Dashboard'!B4</f>
        <v>Alameda</v>
      </c>
      <c r="C2" s="106"/>
      <c r="E2" s="123" t="s">
        <v>49</v>
      </c>
      <c r="F2" s="134" t="s">
        <v>50</v>
      </c>
      <c r="G2" s="134" t="s">
        <v>51</v>
      </c>
      <c r="H2" s="135" t="s">
        <v>52</v>
      </c>
    </row>
    <row r="3" spans="1:13" x14ac:dyDescent="0.3">
      <c r="A3" s="129" t="s">
        <v>22</v>
      </c>
      <c r="B3" s="130" t="str">
        <f>'Policy Impact Dashboard'!B5</f>
        <v>z-All Alameda</v>
      </c>
      <c r="C3" s="106"/>
      <c r="E3" s="136" t="s">
        <v>53</v>
      </c>
      <c r="F3" s="137" t="str">
        <f>VLOOKUP($B$3,'City Profile'!$A$2:$E$118,4)</f>
        <v>Pacific Gas &amp; Electric</v>
      </c>
      <c r="G3" s="157">
        <f>VLOOKUP($F$3,'Utility Profile'!$F$1:$G$3,2,FALSE)</f>
        <v>5.3E-3</v>
      </c>
      <c r="H3" s="138" t="str">
        <f>VLOOKUP($F$3,'Utility Profile'!$F$1:$H$3,3,FALSE)</f>
        <v>Mt CO2e / Therm</v>
      </c>
    </row>
    <row r="4" spans="1:13" x14ac:dyDescent="0.3">
      <c r="A4" s="131" t="s">
        <v>54</v>
      </c>
      <c r="B4" s="132">
        <v>2019</v>
      </c>
      <c r="C4" s="106"/>
      <c r="E4" s="136" t="s">
        <v>55</v>
      </c>
      <c r="F4" s="137" t="str">
        <f>VLOOKUP($B$3,'City Profile'!$A$2:$E$118,3)</f>
        <v>East Bay Community Energy</v>
      </c>
      <c r="G4" s="158">
        <f>VLOOKUP($F$4,'Utility Profile'!$A$1:$B$13,2,FALSE)</f>
        <v>5.531111937658191E-2</v>
      </c>
      <c r="H4" s="139" t="str">
        <f>VLOOKUP($F$4,'Utility Profile'!$A$1:$C$13,3,FALSE)</f>
        <v>Mt CO2e / MWh</v>
      </c>
    </row>
    <row r="5" spans="1:13" x14ac:dyDescent="0.3">
      <c r="A5" s="129" t="s">
        <v>56</v>
      </c>
      <c r="B5" s="133">
        <f>VLOOKUP($B$3,'City Profile'!$A$2:$E$118,5)</f>
        <v>3</v>
      </c>
      <c r="C5" s="107"/>
      <c r="E5" s="103"/>
    </row>
    <row r="6" spans="1:13" ht="8.4" customHeight="1" x14ac:dyDescent="0.3">
      <c r="A6" s="108"/>
      <c r="B6" s="102"/>
      <c r="C6" s="109"/>
      <c r="E6" s="101"/>
      <c r="F6" s="101"/>
      <c r="G6" s="101"/>
      <c r="H6" s="101"/>
      <c r="I6" s="101"/>
      <c r="J6" s="101"/>
    </row>
    <row r="7" spans="1:13" x14ac:dyDescent="0.3">
      <c r="A7" s="676" t="s">
        <v>57</v>
      </c>
      <c r="B7" s="681"/>
      <c r="C7" s="677"/>
      <c r="D7" s="106"/>
      <c r="E7" s="676" t="s">
        <v>58</v>
      </c>
      <c r="F7" s="681"/>
      <c r="G7" s="681"/>
      <c r="H7" s="681"/>
      <c r="I7" s="681"/>
      <c r="J7" s="681"/>
      <c r="K7" s="681"/>
      <c r="L7" s="681"/>
      <c r="M7" s="677"/>
    </row>
    <row r="8" spans="1:13" ht="28.8" x14ac:dyDescent="0.3">
      <c r="A8" s="126"/>
      <c r="B8" s="127" t="s">
        <v>59</v>
      </c>
      <c r="C8" s="128" t="s">
        <v>60</v>
      </c>
      <c r="D8" s="106"/>
      <c r="E8" s="136"/>
      <c r="F8" s="161" t="s">
        <v>59</v>
      </c>
      <c r="G8" s="161" t="s">
        <v>60</v>
      </c>
      <c r="H8" s="161" t="s">
        <v>61</v>
      </c>
      <c r="I8" s="161" t="s">
        <v>62</v>
      </c>
      <c r="J8" s="161" t="s">
        <v>64</v>
      </c>
      <c r="K8" s="161" t="s">
        <v>65</v>
      </c>
      <c r="L8" s="161" t="s">
        <v>66</v>
      </c>
      <c r="M8" s="162" t="s">
        <v>67</v>
      </c>
    </row>
    <row r="9" spans="1:13" x14ac:dyDescent="0.3">
      <c r="A9" s="119" t="s">
        <v>68</v>
      </c>
      <c r="B9" s="140">
        <f>VLOOKUP($B$3,'occupied units'!$A$1:$F$118,3,FALSE)</f>
        <v>413326.49855931586</v>
      </c>
      <c r="C9" s="155"/>
      <c r="D9" s="106"/>
      <c r="E9" s="119" t="s">
        <v>69</v>
      </c>
      <c r="F9" s="140">
        <f>G9*B9</f>
        <v>106638.23662830349</v>
      </c>
      <c r="G9" s="143">
        <f>VLOOKUP($B$5,'CZ UECs '!$A$2:$P$17,14,FALSE)</f>
        <v>0.25800000000000001</v>
      </c>
      <c r="H9" s="148">
        <f>VLOOKUP($B$5,'CZ UECs '!$A$2:$J$16,7,FALSE)</f>
        <v>712.9261629221736</v>
      </c>
      <c r="I9" s="140">
        <f>F9/$J9</f>
        <v>7109.2157752202329</v>
      </c>
      <c r="J9" s="166">
        <v>15</v>
      </c>
      <c r="K9" s="219">
        <v>10</v>
      </c>
      <c r="L9" s="223">
        <v>18</v>
      </c>
      <c r="M9" s="163" t="s">
        <v>70</v>
      </c>
    </row>
    <row r="10" spans="1:13" x14ac:dyDescent="0.3">
      <c r="A10" s="119" t="s">
        <v>71</v>
      </c>
      <c r="B10" s="140">
        <f>B$9*('MSA Data'!E$22*($B$2="Santa Clara")+('MSA Data'!E$10*(1-($B$2="Santa Clara"))))</f>
        <v>128272.59115502487</v>
      </c>
      <c r="C10" s="122">
        <f>B10/B$9</f>
        <v>0.3103420458212327</v>
      </c>
      <c r="D10" s="106"/>
      <c r="E10" s="119" t="s">
        <v>72</v>
      </c>
      <c r="F10" s="140">
        <f t="shared" ref="F10:F11" si="0">G10*B10</f>
        <v>97230.624095508858</v>
      </c>
      <c r="G10" s="143">
        <f>VLOOKUP($B$5,'CZ UECs '!$A$2:$P$17,15,FALSE)</f>
        <v>0.75800000000000001</v>
      </c>
      <c r="H10" s="148">
        <f>VLOOKUP($B$5,'CZ UECs '!$A$2:$J$16,4,FALSE)</f>
        <v>240.27157377371387</v>
      </c>
      <c r="I10" s="140">
        <f>F10/$J10</f>
        <v>4861.5312047754433</v>
      </c>
      <c r="J10" s="166">
        <v>20</v>
      </c>
      <c r="K10" s="220">
        <v>0.78</v>
      </c>
      <c r="L10" s="220">
        <v>0.96</v>
      </c>
      <c r="M10" s="164" t="s">
        <v>73</v>
      </c>
    </row>
    <row r="11" spans="1:13" x14ac:dyDescent="0.3">
      <c r="A11" s="119" t="s">
        <v>74</v>
      </c>
      <c r="B11" s="149">
        <f>B9-B10</f>
        <v>285053.90740429098</v>
      </c>
      <c r="C11" s="122">
        <f>B11/B$9</f>
        <v>0.6896579541787673</v>
      </c>
      <c r="D11" s="106"/>
      <c r="E11" s="119" t="s">
        <v>664</v>
      </c>
      <c r="F11" s="140">
        <f t="shared" si="0"/>
        <v>257118.62447867048</v>
      </c>
      <c r="G11" s="143">
        <f>VLOOKUP($B$5,'CZ UECs '!$A$2:$P$17,16,FALSE)</f>
        <v>0.90200000000000002</v>
      </c>
      <c r="H11" s="148">
        <f>VLOOKUP($B$5,'CZ UECs '!$A$2:$J$16,5,FALSE)</f>
        <v>259.62362049561608</v>
      </c>
      <c r="I11" s="140">
        <f>F11/$J11</f>
        <v>23374.420407151862</v>
      </c>
      <c r="J11" s="166">
        <v>11</v>
      </c>
      <c r="K11" s="221">
        <v>0.57499999999999996</v>
      </c>
      <c r="L11" s="220">
        <v>0.96</v>
      </c>
      <c r="M11" s="163" t="s">
        <v>76</v>
      </c>
    </row>
    <row r="12" spans="1:13" x14ac:dyDescent="0.3">
      <c r="A12" s="119" t="s">
        <v>77</v>
      </c>
      <c r="B12" s="140">
        <f>VLOOKUP($B$3,'home sales'!$A$1:$F$141,3,FALSE)</f>
        <v>18931.728479919897</v>
      </c>
      <c r="C12" s="122">
        <f>B12/B$9</f>
        <v>4.5803326295091221E-2</v>
      </c>
      <c r="D12" s="106"/>
      <c r="E12" s="119" t="s">
        <v>651</v>
      </c>
      <c r="F12" s="121">
        <f>B$9*G12</f>
        <v>100025.01265135444</v>
      </c>
      <c r="G12" s="144">
        <f>1-G10</f>
        <v>0.24199999999999999</v>
      </c>
      <c r="H12" s="148">
        <f>VLOOKUP($B$5,'CZ UECs '!$A$2:$J$16,8,FALSE)</f>
        <v>1716.0481121412502</v>
      </c>
      <c r="I12" s="140">
        <f t="shared" ref="I12:I13" si="1">F12/$J12</f>
        <v>6668.3341767569627</v>
      </c>
      <c r="J12" s="166">
        <v>15</v>
      </c>
      <c r="K12" s="222">
        <v>2.4</v>
      </c>
      <c r="L12" s="224">
        <v>3.2</v>
      </c>
      <c r="M12" s="163" t="s">
        <v>78</v>
      </c>
    </row>
    <row r="13" spans="1:13" x14ac:dyDescent="0.3">
      <c r="A13" s="119" t="s">
        <v>79</v>
      </c>
      <c r="B13" s="140">
        <f>B$9*('MSA Data'!E$23*($B$2="Santa Clara")+('MSA Data'!E$11*(1-($B$2="Santa Clara"))))/10</f>
        <v>3932.4035119467144</v>
      </c>
      <c r="C13" s="122">
        <f>B13/B$9</f>
        <v>9.5140367860600192E-3</v>
      </c>
      <c r="D13" s="106"/>
      <c r="E13" s="119" t="s">
        <v>662</v>
      </c>
      <c r="F13" s="121">
        <f>B$9*G13</f>
        <v>40505.996858812941</v>
      </c>
      <c r="G13" s="144">
        <f>1-G11</f>
        <v>9.7999999999999976E-2</v>
      </c>
      <c r="H13" s="148">
        <f>VLOOKUP($B$5,'CZ UECs '!$A$2:$J$16,9,FALSE)</f>
        <v>1249.7594942519077</v>
      </c>
      <c r="I13" s="140">
        <f t="shared" si="1"/>
        <v>4050.5996858812941</v>
      </c>
      <c r="J13" s="166">
        <v>10</v>
      </c>
      <c r="K13" s="222">
        <v>2</v>
      </c>
      <c r="L13" s="225">
        <v>3.5</v>
      </c>
      <c r="M13" s="163"/>
    </row>
    <row r="14" spans="1:13" x14ac:dyDescent="0.3">
      <c r="A14" s="119" t="s">
        <v>80</v>
      </c>
      <c r="B14" s="150">
        <f>C14*B10</f>
        <v>27835.152280640395</v>
      </c>
      <c r="C14" s="125">
        <v>0.217</v>
      </c>
      <c r="D14" s="106"/>
      <c r="E14" s="119" t="s">
        <v>81</v>
      </c>
      <c r="F14" s="121">
        <f>B$9*G14</f>
        <v>413326.49855931586</v>
      </c>
      <c r="G14" s="144">
        <v>1</v>
      </c>
      <c r="H14" s="148">
        <f>VLOOKUP($B$5,'CZ UECs '!$A$2:$J$16,10,FALSE)</f>
        <v>5836.7675948777132</v>
      </c>
      <c r="I14" s="165"/>
      <c r="J14" s="165"/>
      <c r="K14" s="137"/>
      <c r="L14" s="137"/>
      <c r="M14" s="163"/>
    </row>
    <row r="15" spans="1:13" x14ac:dyDescent="0.3">
      <c r="A15" s="119" t="s">
        <v>82</v>
      </c>
      <c r="B15" s="140">
        <f>B9*C15</f>
        <v>1600.8907869099392</v>
      </c>
      <c r="C15" s="125">
        <f>VLOOKUP($B$3,'occupied units'!$A$2:$O$118,15)</f>
        <v>3.8731869175820523E-3</v>
      </c>
      <c r="D15" s="106"/>
      <c r="E15" s="119" t="s">
        <v>83</v>
      </c>
      <c r="F15" s="121">
        <f>B$9*G15</f>
        <v>413326.49855931586</v>
      </c>
      <c r="G15" s="144">
        <v>1</v>
      </c>
      <c r="H15" s="148">
        <f>VLOOKUP($B$5,'CZ UECs '!$A$2:$J$16,6,FALSE)</f>
        <v>26.04691821285844</v>
      </c>
      <c r="I15" s="165"/>
      <c r="J15" s="165"/>
      <c r="K15" s="137"/>
      <c r="L15" s="137"/>
      <c r="M15" s="163"/>
    </row>
    <row r="16" spans="1:13" ht="28.8" x14ac:dyDescent="0.3">
      <c r="A16" s="210" t="s">
        <v>484</v>
      </c>
      <c r="B16" s="211">
        <v>0.5</v>
      </c>
      <c r="C16" s="206" t="s">
        <v>485</v>
      </c>
      <c r="D16" s="105"/>
      <c r="E16" s="103"/>
      <c r="F16" s="103"/>
      <c r="G16" s="103"/>
      <c r="H16" s="103"/>
      <c r="I16" s="103"/>
      <c r="J16" s="103"/>
    </row>
    <row r="17" spans="1:7" ht="28.8" x14ac:dyDescent="0.3">
      <c r="A17" s="141" t="s">
        <v>106</v>
      </c>
      <c r="B17" s="124"/>
      <c r="C17" s="152"/>
      <c r="D17" s="105"/>
    </row>
    <row r="18" spans="1:7" ht="28.8" x14ac:dyDescent="0.3">
      <c r="A18" s="142" t="s">
        <v>107</v>
      </c>
      <c r="B18" s="124"/>
      <c r="C18" s="153"/>
      <c r="D18" s="105"/>
    </row>
    <row r="19" spans="1:7" x14ac:dyDescent="0.3">
      <c r="A19" s="151" t="s">
        <v>87</v>
      </c>
      <c r="B19" s="120"/>
      <c r="C19" s="154"/>
      <c r="E19" s="103"/>
      <c r="F19" s="103"/>
      <c r="G19" s="103"/>
    </row>
    <row r="20" spans="1:7" x14ac:dyDescent="0.3">
      <c r="A20" s="103"/>
      <c r="B20" s="103"/>
      <c r="C20" s="103"/>
    </row>
  </sheetData>
  <mergeCells count="4">
    <mergeCell ref="A1:B1"/>
    <mergeCell ref="E1:H1"/>
    <mergeCell ref="A7:C7"/>
    <mergeCell ref="E7:M7"/>
  </mergeCells>
  <dataValidations count="1">
    <dataValidation allowBlank="1" showErrorMessage="1" sqref="B4 G3:G4 I9:J13 C14 B9:C13 B15:C19 F9:H15" xr:uid="{461EA986-55DB-4373-8EEB-60F21B35F186}"/>
  </dataValidation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97A0-FB91-423F-88FE-8252841929D0}">
  <sheetPr codeName="Sheet14"/>
  <dimension ref="A1:I21"/>
  <sheetViews>
    <sheetView workbookViewId="0">
      <selection activeCell="G2" sqref="G2"/>
    </sheetView>
  </sheetViews>
  <sheetFormatPr defaultRowHeight="14.4" x14ac:dyDescent="0.3"/>
  <cols>
    <col min="1" max="1" width="23.88671875" bestFit="1" customWidth="1"/>
    <col min="2" max="2" width="14.6640625" bestFit="1" customWidth="1"/>
    <col min="3" max="3" width="14.44140625" bestFit="1" customWidth="1"/>
    <col min="4" max="4" width="74.6640625" customWidth="1"/>
    <col min="5" max="5" width="5.109375" customWidth="1"/>
    <col min="6" max="6" width="17" bestFit="1" customWidth="1"/>
    <col min="7" max="7" width="14.6640625" bestFit="1" customWidth="1"/>
    <col min="8" max="8" width="15.33203125" bestFit="1" customWidth="1"/>
  </cols>
  <sheetData>
    <row r="1" spans="1:9" x14ac:dyDescent="0.3">
      <c r="A1" s="16" t="s">
        <v>216</v>
      </c>
      <c r="B1" s="1" t="s">
        <v>51</v>
      </c>
      <c r="C1" s="1" t="s">
        <v>52</v>
      </c>
      <c r="D1" s="1" t="s">
        <v>256</v>
      </c>
      <c r="E1" s="82"/>
      <c r="F1" s="13" t="s">
        <v>217</v>
      </c>
      <c r="G1" s="82" t="s">
        <v>51</v>
      </c>
      <c r="H1" s="82"/>
      <c r="I1" s="82"/>
    </row>
    <row r="2" spans="1:9" x14ac:dyDescent="0.3">
      <c r="A2" s="82" t="s">
        <v>223</v>
      </c>
      <c r="B2" s="100">
        <v>0</v>
      </c>
      <c r="C2" s="82" t="s">
        <v>257</v>
      </c>
      <c r="D2" s="99" t="s">
        <v>258</v>
      </c>
      <c r="E2" s="82"/>
      <c r="F2" s="82" t="s">
        <v>227</v>
      </c>
      <c r="G2" s="82">
        <v>5.3E-3</v>
      </c>
      <c r="H2" s="82" t="s">
        <v>259</v>
      </c>
      <c r="I2" s="82"/>
    </row>
    <row r="3" spans="1:9" x14ac:dyDescent="0.3">
      <c r="A3" s="82" t="s">
        <v>224</v>
      </c>
      <c r="B3" s="100">
        <v>0</v>
      </c>
      <c r="C3" s="82" t="s">
        <v>257</v>
      </c>
      <c r="D3" s="99" t="s">
        <v>260</v>
      </c>
      <c r="E3" s="82"/>
      <c r="F3" s="82" t="s">
        <v>224</v>
      </c>
      <c r="G3" s="82">
        <v>5.3E-3</v>
      </c>
      <c r="H3" s="82" t="s">
        <v>259</v>
      </c>
      <c r="I3" s="82" t="s">
        <v>261</v>
      </c>
    </row>
    <row r="4" spans="1:9" x14ac:dyDescent="0.3">
      <c r="A4" s="82" t="s">
        <v>230</v>
      </c>
      <c r="B4" s="100">
        <f>0.044*$B$21*1000/$B$20</f>
        <v>1.8161860093803016E-2</v>
      </c>
      <c r="C4" s="82" t="s">
        <v>257</v>
      </c>
      <c r="D4" s="99" t="s">
        <v>262</v>
      </c>
      <c r="E4" s="82"/>
      <c r="F4" s="82"/>
      <c r="G4" s="82"/>
      <c r="H4" s="82"/>
      <c r="I4" s="82"/>
    </row>
    <row r="5" spans="1:9" x14ac:dyDescent="0.3">
      <c r="A5" s="82" t="s">
        <v>232</v>
      </c>
      <c r="B5" s="100">
        <f>0.134*$B$21*1000/$B$20</f>
        <v>5.531111937658191E-2</v>
      </c>
      <c r="C5" s="82" t="s">
        <v>257</v>
      </c>
      <c r="D5" s="99" t="s">
        <v>263</v>
      </c>
      <c r="E5" s="82"/>
      <c r="F5" s="82"/>
      <c r="G5" s="82"/>
      <c r="H5" s="82"/>
      <c r="I5" s="82"/>
    </row>
    <row r="6" spans="1:9" x14ac:dyDescent="0.3">
      <c r="A6" s="82" t="s">
        <v>234</v>
      </c>
      <c r="B6" s="100">
        <f>(0.291+0.086)*$B$21*1000/$B$20</f>
        <v>0.15561411944008491</v>
      </c>
      <c r="C6" s="82" t="s">
        <v>257</v>
      </c>
      <c r="D6" s="99" t="s">
        <v>264</v>
      </c>
      <c r="E6" s="82"/>
      <c r="F6" s="82"/>
      <c r="G6" s="82"/>
      <c r="H6" s="82"/>
      <c r="I6" s="82"/>
    </row>
    <row r="7" spans="1:9" x14ac:dyDescent="0.3">
      <c r="A7" s="82" t="s">
        <v>235</v>
      </c>
      <c r="B7" s="100">
        <f>(0.097)*$B$21*1000/$B$20</f>
        <v>4.0038646115883918E-2</v>
      </c>
      <c r="C7" s="82" t="s">
        <v>257</v>
      </c>
      <c r="D7" s="99" t="s">
        <v>265</v>
      </c>
      <c r="E7" s="82"/>
      <c r="F7" s="82"/>
      <c r="G7" s="82"/>
      <c r="H7" s="82"/>
      <c r="I7" s="82"/>
    </row>
    <row r="8" spans="1:9" x14ac:dyDescent="0.3">
      <c r="A8" s="82" t="s">
        <v>227</v>
      </c>
      <c r="B8" s="100">
        <f>171/$B$20</f>
        <v>7.7564387513494398E-2</v>
      </c>
      <c r="C8" s="82" t="s">
        <v>257</v>
      </c>
      <c r="D8" s="18" t="s">
        <v>266</v>
      </c>
      <c r="E8" s="82"/>
      <c r="F8" s="82"/>
      <c r="G8" s="82"/>
      <c r="H8" s="82"/>
      <c r="I8" s="82"/>
    </row>
    <row r="9" spans="1:9" x14ac:dyDescent="0.3">
      <c r="A9" s="82" t="s">
        <v>239</v>
      </c>
      <c r="B9" s="100">
        <f>102/$B$20</f>
        <v>4.6266476762435255E-2</v>
      </c>
      <c r="C9" s="82" t="s">
        <v>257</v>
      </c>
      <c r="D9" s="99" t="s">
        <v>267</v>
      </c>
      <c r="E9" s="82"/>
      <c r="F9" s="82"/>
      <c r="G9" s="82"/>
      <c r="H9" s="82"/>
      <c r="I9" s="82"/>
    </row>
    <row r="10" spans="1:9" x14ac:dyDescent="0.3">
      <c r="A10" s="82" t="s">
        <v>244</v>
      </c>
      <c r="B10" s="100">
        <f>(0.355+0.006+0.002)*$B$21*1000/$B$20</f>
        <v>0.14983534577387489</v>
      </c>
      <c r="C10" s="82" t="s">
        <v>257</v>
      </c>
      <c r="D10" s="99" t="s">
        <v>268</v>
      </c>
      <c r="E10" s="82"/>
      <c r="F10" s="82"/>
      <c r="G10" s="82"/>
      <c r="H10" s="82"/>
      <c r="I10" s="82"/>
    </row>
    <row r="11" spans="1:9" x14ac:dyDescent="0.3">
      <c r="A11" s="82" t="s">
        <v>247</v>
      </c>
      <c r="B11" s="100">
        <v>0</v>
      </c>
      <c r="C11" s="82" t="s">
        <v>257</v>
      </c>
      <c r="D11" s="99" t="s">
        <v>269</v>
      </c>
      <c r="E11" s="82"/>
      <c r="F11" s="82"/>
      <c r="G11" s="82"/>
      <c r="H11" s="82"/>
      <c r="I11" s="82"/>
    </row>
    <row r="12" spans="1:9" x14ac:dyDescent="0.3">
      <c r="A12" s="82" t="s">
        <v>270</v>
      </c>
      <c r="B12" s="100">
        <v>0</v>
      </c>
      <c r="C12" s="82" t="s">
        <v>257</v>
      </c>
      <c r="D12" s="99" t="s">
        <v>271</v>
      </c>
      <c r="E12" s="82"/>
      <c r="F12" s="82"/>
      <c r="G12" s="82"/>
      <c r="H12" s="82"/>
      <c r="I12" s="82"/>
    </row>
    <row r="13" spans="1:9" x14ac:dyDescent="0.3">
      <c r="A13" s="82" t="s">
        <v>248</v>
      </c>
      <c r="B13" s="100">
        <f>(0.03)*$B$21*1000/$B$20</f>
        <v>1.2383086427592964E-2</v>
      </c>
      <c r="C13" s="82" t="s">
        <v>257</v>
      </c>
      <c r="D13" s="99" t="s">
        <v>272</v>
      </c>
      <c r="E13" s="82"/>
      <c r="F13" s="82"/>
      <c r="G13" s="82"/>
      <c r="H13" s="82"/>
      <c r="I13" s="82"/>
    </row>
    <row r="20" spans="1:4" x14ac:dyDescent="0.3">
      <c r="A20" s="82" t="s">
        <v>273</v>
      </c>
      <c r="B20" s="82">
        <v>2204.62</v>
      </c>
      <c r="C20" s="82" t="s">
        <v>274</v>
      </c>
      <c r="D20" s="82"/>
    </row>
    <row r="21" spans="1:4" x14ac:dyDescent="0.3">
      <c r="A21" s="82" t="s">
        <v>275</v>
      </c>
      <c r="B21" s="82">
        <v>0.91</v>
      </c>
      <c r="C21" s="82" t="s">
        <v>276</v>
      </c>
      <c r="D21" s="99" t="s">
        <v>277</v>
      </c>
    </row>
  </sheetData>
  <sortState xmlns:xlrd2="http://schemas.microsoft.com/office/spreadsheetml/2017/richdata2" ref="A2:I13">
    <sortCondition ref="A2:A13"/>
  </sortState>
  <hyperlinks>
    <hyperlink ref="D8" r:id="rId1" xr:uid="{5DBC9441-EC59-4095-9DF2-F20CEB306EE2}"/>
    <hyperlink ref="D2" r:id="rId2" xr:uid="{03899283-9172-42B8-8561-F624D128216D}"/>
    <hyperlink ref="D3" r:id="rId3" xr:uid="{877982DE-05FC-4179-9120-2164670F2673}"/>
    <hyperlink ref="D21" r:id="rId4" xr:uid="{EAF264BA-8D82-4823-9CB6-01379CF1C5A8}"/>
    <hyperlink ref="D4" r:id="rId5" xr:uid="{2FB0AC7F-D435-4666-B5AA-2025F9E9DF1B}"/>
    <hyperlink ref="D5" r:id="rId6" xr:uid="{0D1D3803-1359-4DAD-B286-1974F065333B}"/>
    <hyperlink ref="D6" r:id="rId7" xr:uid="{DA925FF6-07AF-4018-B7F9-1A2F5D7715F0}"/>
    <hyperlink ref="D7" r:id="rId8" xr:uid="{5E42E0C2-FF35-4157-83FA-66AB90E08084}"/>
    <hyperlink ref="D9" r:id="rId9" xr:uid="{6953D63B-7856-4869-AB86-863EA3056B09}"/>
    <hyperlink ref="D10" r:id="rId10" xr:uid="{0B732F28-51A5-48A3-94EF-97A51D344F55}"/>
    <hyperlink ref="D12" r:id="rId11" xr:uid="{8342A4FD-30CA-4D03-B731-1B5BA29C9106}"/>
    <hyperlink ref="D11" r:id="rId12" xr:uid="{A76F4CA5-6CA0-4F29-B9FD-F18CDA988E76}"/>
    <hyperlink ref="D13" r:id="rId13" xr:uid="{8D05BCB9-1E8F-4FE7-9545-ED8C8BA8C790}"/>
  </hyperlinks>
  <pageMargins left="0.7" right="0.7" top="0.75" bottom="0.75" header="0.3" footer="0.3"/>
  <pageSetup orientation="portrait" horizontalDpi="1200" verticalDpi="1200" r:id="rId1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111D-F30C-47BB-A11A-D24662F9CF58}">
  <sheetPr codeName="Sheet7"/>
  <dimension ref="A1:Q20"/>
  <sheetViews>
    <sheetView workbookViewId="0">
      <selection activeCell="M7" sqref="M7"/>
    </sheetView>
  </sheetViews>
  <sheetFormatPr defaultColWidth="8.6640625" defaultRowHeight="14.4" x14ac:dyDescent="0.3"/>
  <cols>
    <col min="1" max="1" width="9.44140625" style="98" customWidth="1"/>
    <col min="2" max="2" width="11.5546875" style="82" customWidth="1"/>
    <col min="3" max="3" width="13.44140625" style="82" customWidth="1"/>
    <col min="4" max="13" width="9.109375" style="82" bestFit="1" customWidth="1"/>
    <col min="14" max="16384" width="8.6640625" style="82"/>
  </cols>
  <sheetData>
    <row r="1" spans="1:17" ht="87" thickBot="1" x14ac:dyDescent="0.35">
      <c r="A1" s="97" t="s">
        <v>95</v>
      </c>
      <c r="B1" s="16" t="s">
        <v>96</v>
      </c>
      <c r="C1" s="16" t="s">
        <v>97</v>
      </c>
      <c r="D1" s="16" t="s">
        <v>98</v>
      </c>
      <c r="E1" s="16" t="s">
        <v>99</v>
      </c>
      <c r="F1" s="16" t="s">
        <v>672</v>
      </c>
      <c r="G1" s="16" t="s">
        <v>100</v>
      </c>
      <c r="H1" s="16" t="s">
        <v>101</v>
      </c>
      <c r="I1" s="16" t="s">
        <v>102</v>
      </c>
      <c r="J1" s="16" t="s">
        <v>103</v>
      </c>
      <c r="K1" s="16" t="s">
        <v>670</v>
      </c>
      <c r="L1" s="16" t="s">
        <v>671</v>
      </c>
      <c r="M1" s="16" t="s">
        <v>542</v>
      </c>
      <c r="N1" s="16" t="s">
        <v>648</v>
      </c>
      <c r="O1" s="16" t="s">
        <v>649</v>
      </c>
      <c r="P1" s="16" t="s">
        <v>650</v>
      </c>
    </row>
    <row r="2" spans="1:17" x14ac:dyDescent="0.3">
      <c r="A2" s="27">
        <v>1</v>
      </c>
      <c r="B2" s="28">
        <f>G2+J2</f>
        <v>7315.8210641942806</v>
      </c>
      <c r="C2" s="28">
        <f>SUM(D2:F2)</f>
        <v>644.85626733340257</v>
      </c>
      <c r="D2" s="73">
        <f>K2*'Housing Stock Defaults'!$K$10/'Appliance Stock Profile'!$K$9</f>
        <v>317.88001479272771</v>
      </c>
      <c r="E2" s="73">
        <f>L2*'Housing Stock Defaults'!$K$11/'Appliance Stock Profile'!$K$10</f>
        <v>294.94653904832757</v>
      </c>
      <c r="F2" s="28">
        <v>32.029713492347241</v>
      </c>
      <c r="G2" s="73">
        <f>M2*'Housing Stock Defaults'!$K$9/'Appliance Stock Profile'!$K$12</f>
        <v>488.20385668521101</v>
      </c>
      <c r="H2" s="73">
        <f>D2*$B$20*'Appliance Stock Profile'!$K$9/'Appliance Stock Profile'!$M$13</f>
        <v>2270.3368139014178</v>
      </c>
      <c r="I2" s="73">
        <f>E2*$B$20*'Appliance Stock Profile'!$K$10/'Appliance Stock Profile'!$M$14</f>
        <v>1419.7946888219001</v>
      </c>
      <c r="J2" s="28">
        <v>6827.6172075090699</v>
      </c>
      <c r="K2" s="28">
        <v>317.88001479272771</v>
      </c>
      <c r="L2" s="73">
        <v>294.94653904832757</v>
      </c>
      <c r="M2" s="73">
        <v>488.20385668521106</v>
      </c>
      <c r="N2" s="21">
        <v>0.14700000000000002</v>
      </c>
      <c r="O2" s="21">
        <v>0.35599999999999998</v>
      </c>
      <c r="P2" s="21">
        <v>0.42399999999999999</v>
      </c>
      <c r="Q2" s="532">
        <f>K2/2</f>
        <v>158.94000739636385</v>
      </c>
    </row>
    <row r="3" spans="1:17" x14ac:dyDescent="0.3">
      <c r="A3" s="27">
        <v>2</v>
      </c>
      <c r="B3" s="28">
        <f t="shared" ref="B3:B17" si="0">G3+J3</f>
        <v>7317.5168247237953</v>
      </c>
      <c r="C3" s="28">
        <f t="shared" ref="C3:C17" si="1">SUM(D3:F3)</f>
        <v>644.96450210048476</v>
      </c>
      <c r="D3" s="73">
        <f>K3*'Housing Stock Defaults'!$K$10/'Appliance Stock Profile'!$K$9</f>
        <v>317.9528621971815</v>
      </c>
      <c r="E3" s="73">
        <f>L3*'Housing Stock Defaults'!$K$11/'Appliance Stock Profile'!$K$10</f>
        <v>294.97522237795545</v>
      </c>
      <c r="F3" s="28">
        <v>32.036417525347787</v>
      </c>
      <c r="G3" s="73">
        <f>M3*'Housing Stock Defaults'!$K$9/'Appliance Stock Profile'!$K$12</f>
        <v>488.84585181769069</v>
      </c>
      <c r="H3" s="73">
        <f>D3*$B$20*'Appliance Stock Profile'!$K$9/'Appliance Stock Profile'!$M$13</f>
        <v>2270.8570987146559</v>
      </c>
      <c r="I3" s="73">
        <f>E3*$B$20*'Appliance Stock Profile'!$K$10/'Appliance Stock Profile'!$M$14</f>
        <v>1419.9327627901346</v>
      </c>
      <c r="J3" s="28">
        <v>6828.6709729061049</v>
      </c>
      <c r="K3" s="28">
        <v>317.9528621971815</v>
      </c>
      <c r="L3" s="73">
        <v>294.97522237795545</v>
      </c>
      <c r="M3" s="73">
        <v>488.84585181769069</v>
      </c>
      <c r="N3" s="21">
        <v>0.503</v>
      </c>
      <c r="O3" s="21">
        <v>0.64400000000000002</v>
      </c>
      <c r="P3" s="21">
        <v>0.83599999999999997</v>
      </c>
      <c r="Q3" s="532">
        <f t="shared" ref="Q3:Q17" si="2">K3/2</f>
        <v>158.97643109859075</v>
      </c>
    </row>
    <row r="4" spans="1:17" x14ac:dyDescent="0.3">
      <c r="A4" s="27">
        <v>3</v>
      </c>
      <c r="B4" s="28">
        <f t="shared" si="0"/>
        <v>6549.693757799887</v>
      </c>
      <c r="C4" s="28">
        <f t="shared" si="1"/>
        <v>525.94211248218846</v>
      </c>
      <c r="D4" s="73">
        <f>K4*'Housing Stock Defaults'!$K$10/'Appliance Stock Profile'!$K$9</f>
        <v>240.27157377371387</v>
      </c>
      <c r="E4" s="73">
        <f>L4*'Housing Stock Defaults'!$K$11/'Appliance Stock Profile'!$K$10</f>
        <v>259.62362049561608</v>
      </c>
      <c r="F4" s="28">
        <v>26.04691821285844</v>
      </c>
      <c r="G4" s="73">
        <f>M4*'Housing Stock Defaults'!$K$9/'Appliance Stock Profile'!$K$12</f>
        <v>712.9261629221736</v>
      </c>
      <c r="H4" s="73">
        <f>D4*$B$20*'Appliance Stock Profile'!$K$9/'Appliance Stock Profile'!$M$13</f>
        <v>1716.0481121412502</v>
      </c>
      <c r="I4" s="73">
        <f>E4*$B$20*'Appliance Stock Profile'!$K$10/'Appliance Stock Profile'!$M$14</f>
        <v>1249.7594942519077</v>
      </c>
      <c r="J4" s="28">
        <v>5836.7675948777132</v>
      </c>
      <c r="K4" s="28">
        <v>240.27157377371387</v>
      </c>
      <c r="L4" s="73">
        <v>259.62362049561608</v>
      </c>
      <c r="M4" s="73">
        <v>712.9261629221736</v>
      </c>
      <c r="N4" s="21">
        <v>0.25800000000000001</v>
      </c>
      <c r="O4" s="21">
        <v>0.75800000000000001</v>
      </c>
      <c r="P4" s="21">
        <v>0.90200000000000002</v>
      </c>
      <c r="Q4" s="532">
        <f t="shared" si="2"/>
        <v>120.13578688685693</v>
      </c>
    </row>
    <row r="5" spans="1:17" x14ac:dyDescent="0.3">
      <c r="A5" s="27">
        <v>4</v>
      </c>
      <c r="B5" s="28">
        <f t="shared" si="0"/>
        <v>6435.1654457819877</v>
      </c>
      <c r="C5" s="28">
        <f t="shared" si="1"/>
        <v>524.1762402562623</v>
      </c>
      <c r="D5" s="73">
        <f>K5*'Housing Stock Defaults'!$K$10/'Appliance Stock Profile'!$K$9</f>
        <v>239.86670494784869</v>
      </c>
      <c r="E5" s="73">
        <f>L5*'Housing Stock Defaults'!$K$11/'Appliance Stock Profile'!$K$10</f>
        <v>258.684357422912</v>
      </c>
      <c r="F5" s="28">
        <v>25.625177885501653</v>
      </c>
      <c r="G5" s="73">
        <f>M5*'Housing Stock Defaults'!$K$9/'Appliance Stock Profile'!$K$12</f>
        <v>667.86121064282315</v>
      </c>
      <c r="H5" s="73">
        <f>D5*$B$20*'Appliance Stock Profile'!$K$9/'Appliance Stock Profile'!$M$13</f>
        <v>1713.1564909087479</v>
      </c>
      <c r="I5" s="73">
        <f>E5*$B$20*'Appliance Stock Profile'!$K$10/'Appliance Stock Profile'!$M$14</f>
        <v>1245.238130053722</v>
      </c>
      <c r="J5" s="28">
        <v>5767.304235139165</v>
      </c>
      <c r="K5" s="28">
        <v>239.86670494784869</v>
      </c>
      <c r="L5" s="73">
        <v>258.684357422912</v>
      </c>
      <c r="M5" s="73">
        <v>667.86121064282315</v>
      </c>
      <c r="N5" s="21">
        <v>0.67300000000000004</v>
      </c>
      <c r="O5" s="21">
        <v>0.77</v>
      </c>
      <c r="P5" s="21">
        <v>0.89700000000000002</v>
      </c>
      <c r="Q5" s="532">
        <f t="shared" si="2"/>
        <v>119.93335247392434</v>
      </c>
    </row>
    <row r="6" spans="1:17" x14ac:dyDescent="0.3">
      <c r="A6" s="27">
        <v>5</v>
      </c>
      <c r="B6" s="28">
        <f t="shared" si="0"/>
        <v>6833.57</v>
      </c>
      <c r="C6" s="28">
        <f t="shared" si="1"/>
        <v>560.66999999999996</v>
      </c>
      <c r="D6" s="73">
        <f>K6*'Housing Stock Defaults'!$K$10/'Appliance Stock Profile'!$K$9</f>
        <v>238.99999999999997</v>
      </c>
      <c r="E6" s="73">
        <f>L6*'Housing Stock Defaults'!$K$11/'Appliance Stock Profile'!$K$10</f>
        <v>286</v>
      </c>
      <c r="F6" s="28">
        <v>35.67</v>
      </c>
      <c r="G6" s="73">
        <f>M6*'Housing Stock Defaults'!$K$9/'Appliance Stock Profile'!$K$12</f>
        <v>1003.9999999999998</v>
      </c>
      <c r="H6" s="73">
        <f>D6*$B$20*'Appliance Stock Profile'!$K$9/'Appliance Stock Profile'!$M$13</f>
        <v>1706.9663812499996</v>
      </c>
      <c r="I6" s="73">
        <f>E6*$B$20*'Appliance Stock Profile'!$K$10/'Appliance Stock Profile'!$M$14</f>
        <v>1376.7284142857141</v>
      </c>
      <c r="J6" s="28">
        <v>5829.57</v>
      </c>
      <c r="K6" s="28">
        <v>238.99999999999997</v>
      </c>
      <c r="L6" s="73">
        <v>286</v>
      </c>
      <c r="M6" s="73">
        <v>1003.9999999999999</v>
      </c>
      <c r="N6" s="21">
        <v>0.14900000000000002</v>
      </c>
      <c r="O6" s="21">
        <v>0.66100000000000003</v>
      </c>
      <c r="P6" s="21">
        <v>0.77600000000000002</v>
      </c>
      <c r="Q6" s="532">
        <f t="shared" si="2"/>
        <v>119.49999999999999</v>
      </c>
    </row>
    <row r="7" spans="1:17" x14ac:dyDescent="0.3">
      <c r="A7" s="27">
        <v>6</v>
      </c>
      <c r="B7" s="28">
        <f t="shared" si="0"/>
        <v>6953.4327468052743</v>
      </c>
      <c r="C7" s="28">
        <f t="shared" si="1"/>
        <v>459.87454300687909</v>
      </c>
      <c r="D7" s="73">
        <f>K7*'Housing Stock Defaults'!$K$10/'Appliance Stock Profile'!$K$9</f>
        <v>146.44915553761609</v>
      </c>
      <c r="E7" s="73">
        <f>L7*'Housing Stock Defaults'!$K$11/'Appliance Stock Profile'!$K$10</f>
        <v>269.3633630389574</v>
      </c>
      <c r="F7" s="28">
        <v>44.062024430305613</v>
      </c>
      <c r="G7" s="73">
        <f>M7*'Housing Stock Defaults'!$K$9/'Appliance Stock Profile'!$K$12</f>
        <v>1115.8145536489428</v>
      </c>
      <c r="H7" s="73">
        <f>D7*$B$20*'Appliance Stock Profile'!$K$9/'Appliance Stock Profile'!$M$13</f>
        <v>1045.9572596868741</v>
      </c>
      <c r="I7" s="73">
        <f>E7*$B$20*'Appliance Stock Profile'!$K$10/'Appliance Stock Profile'!$M$14</f>
        <v>1296.6440407807374</v>
      </c>
      <c r="J7" s="28">
        <v>5837.6181931563315</v>
      </c>
      <c r="K7" s="28">
        <v>146.44915553761609</v>
      </c>
      <c r="L7" s="73">
        <v>269.3633630389574</v>
      </c>
      <c r="M7" s="73">
        <v>1115.8145536489428</v>
      </c>
      <c r="N7" s="21">
        <v>0.55699999999999994</v>
      </c>
      <c r="O7" s="21">
        <v>0.76400000000000001</v>
      </c>
      <c r="P7" s="21">
        <v>0.89200000000000002</v>
      </c>
      <c r="Q7" s="532">
        <f t="shared" si="2"/>
        <v>73.224577768808047</v>
      </c>
    </row>
    <row r="8" spans="1:17" x14ac:dyDescent="0.3">
      <c r="A8" s="27">
        <v>7</v>
      </c>
      <c r="B8" s="28">
        <f t="shared" si="0"/>
        <v>6566.7</v>
      </c>
      <c r="C8" s="28">
        <f t="shared" si="1"/>
        <v>364.76</v>
      </c>
      <c r="D8" s="73">
        <f>K8*'Housing Stock Defaults'!$K$10/'Appliance Stock Profile'!$K$9</f>
        <v>122.99999999999999</v>
      </c>
      <c r="E8" s="73">
        <f>L8*'Housing Stock Defaults'!$K$11/'Appliance Stock Profile'!$K$10</f>
        <v>211</v>
      </c>
      <c r="F8" s="28">
        <v>30.76</v>
      </c>
      <c r="G8" s="73">
        <f>M8*'Housing Stock Defaults'!$K$9/'Appliance Stock Profile'!$K$12</f>
        <v>757</v>
      </c>
      <c r="H8" s="73">
        <f>D8*$B$20*'Appliance Stock Profile'!$K$9/'Appliance Stock Profile'!$M$13</f>
        <v>878.48060624999982</v>
      </c>
      <c r="I8" s="73">
        <f>E8*$B$20*'Appliance Stock Profile'!$K$10/'Appliance Stock Profile'!$M$14</f>
        <v>1015.6982357142855</v>
      </c>
      <c r="J8" s="28">
        <v>5809.7</v>
      </c>
      <c r="K8" s="28">
        <v>123</v>
      </c>
      <c r="L8" s="73">
        <v>211</v>
      </c>
      <c r="M8" s="73">
        <v>757</v>
      </c>
      <c r="N8" s="21">
        <v>0.54200000000000004</v>
      </c>
      <c r="O8" s="21">
        <v>0.68</v>
      </c>
      <c r="P8" s="21">
        <v>0.88100000000000001</v>
      </c>
      <c r="Q8" s="532">
        <f t="shared" si="2"/>
        <v>61.5</v>
      </c>
    </row>
    <row r="9" spans="1:17" x14ac:dyDescent="0.3">
      <c r="A9" s="27">
        <v>8</v>
      </c>
      <c r="B9" s="28">
        <f t="shared" si="0"/>
        <v>7023.6201712204365</v>
      </c>
      <c r="C9" s="28">
        <f t="shared" si="1"/>
        <v>450.62459102561502</v>
      </c>
      <c r="D9" s="73">
        <f>K9*'Housing Stock Defaults'!$K$10/'Appliance Stock Profile'!$K$9</f>
        <v>139.70619173996096</v>
      </c>
      <c r="E9" s="73">
        <f>L9*'Housing Stock Defaults'!$K$11/'Appliance Stock Profile'!$K$10</f>
        <v>267.26661398659019</v>
      </c>
      <c r="F9" s="28">
        <v>43.651785299063853</v>
      </c>
      <c r="G9" s="73">
        <f>M9*'Housing Stock Defaults'!$K$9/'Appliance Stock Profile'!$K$12</f>
        <v>1168.0440924903937</v>
      </c>
      <c r="H9" s="73">
        <f>D9*$B$20*'Appliance Stock Profile'!$K$9/'Appliance Stock Profile'!$M$13</f>
        <v>997.79821151707017</v>
      </c>
      <c r="I9" s="73">
        <f>E9*$B$20*'Appliance Stock Profile'!$K$10/'Appliance Stock Profile'!$M$14</f>
        <v>1286.5508449834629</v>
      </c>
      <c r="J9" s="28">
        <v>5855.5760787300433</v>
      </c>
      <c r="K9" s="28">
        <v>139.70619173996096</v>
      </c>
      <c r="L9" s="73">
        <v>267.26661398659019</v>
      </c>
      <c r="M9" s="73">
        <v>1168.0440924903937</v>
      </c>
      <c r="N9" s="21">
        <v>0.76700000000000002</v>
      </c>
      <c r="O9" s="21">
        <v>0.67200000000000004</v>
      </c>
      <c r="P9" s="21">
        <v>0.90300000000000002</v>
      </c>
      <c r="Q9" s="532">
        <f t="shared" si="2"/>
        <v>69.853095869980478</v>
      </c>
    </row>
    <row r="10" spans="1:17" x14ac:dyDescent="0.3">
      <c r="A10" s="27">
        <v>9</v>
      </c>
      <c r="B10" s="28">
        <f t="shared" si="0"/>
        <v>7301.8474345386221</v>
      </c>
      <c r="C10" s="28">
        <f t="shared" si="1"/>
        <v>480.64688379832501</v>
      </c>
      <c r="D10" s="73">
        <f>K10*'Housing Stock Defaults'!$K$10/'Appliance Stock Profile'!$K$9</f>
        <v>151.88133959609056</v>
      </c>
      <c r="E10" s="73">
        <f>L10*'Housing Stock Defaults'!$K$11/'Appliance Stock Profile'!$K$10</f>
        <v>284.22996015832882</v>
      </c>
      <c r="F10" s="28">
        <v>44.535584043905587</v>
      </c>
      <c r="G10" s="73">
        <f>M10*'Housing Stock Defaults'!$K$9/'Appliance Stock Profile'!$K$12</f>
        <v>1310.7052253356294</v>
      </c>
      <c r="H10" s="73">
        <f>D10*$B$20*'Appliance Stock Profile'!$K$9/'Appliance Stock Profile'!$M$13</f>
        <v>1084.7545633043558</v>
      </c>
      <c r="I10" s="73">
        <f>E10*$B$20*'Appliance Stock Profile'!$K$10/'Appliance Stock Profile'!$M$14</f>
        <v>1368.2079102841528</v>
      </c>
      <c r="J10" s="28">
        <v>5991.1422092029925</v>
      </c>
      <c r="K10" s="28">
        <v>151.88133959609056</v>
      </c>
      <c r="L10" s="73">
        <v>284.22996015832882</v>
      </c>
      <c r="M10" s="73">
        <v>1310.7052253356294</v>
      </c>
      <c r="N10" s="21">
        <v>0.88900000000000001</v>
      </c>
      <c r="O10" s="21">
        <v>0.68</v>
      </c>
      <c r="P10" s="21">
        <v>0.89800000000000002</v>
      </c>
      <c r="Q10" s="532">
        <f t="shared" si="2"/>
        <v>75.940669798045278</v>
      </c>
    </row>
    <row r="11" spans="1:17" x14ac:dyDescent="0.3">
      <c r="A11" s="27">
        <v>10</v>
      </c>
      <c r="B11" s="28">
        <f t="shared" si="0"/>
        <v>8282.8346574975603</v>
      </c>
      <c r="C11" s="28">
        <f t="shared" si="1"/>
        <v>414.61930333450596</v>
      </c>
      <c r="D11" s="73">
        <f>K11*'Housing Stock Defaults'!$K$10/'Appliance Stock Profile'!$K$9</f>
        <v>145.17165371589016</v>
      </c>
      <c r="E11" s="73">
        <f>L11*'Housing Stock Defaults'!$K$11/'Appliance Stock Profile'!$K$10</f>
        <v>225.44509443475349</v>
      </c>
      <c r="F11" s="28">
        <v>44.00255518386237</v>
      </c>
      <c r="G11" s="73">
        <f>M11*'Housing Stock Defaults'!$K$9/'Appliance Stock Profile'!$K$12</f>
        <v>1773.2900391580802</v>
      </c>
      <c r="H11" s="73">
        <f>D11*$B$20*'Appliance Stock Profile'!$K$9/'Appliance Stock Profile'!$M$13</f>
        <v>1036.8331899727661</v>
      </c>
      <c r="I11" s="73">
        <f>E11*$B$20*'Appliance Stock Profile'!$K$10/'Appliance Stock Profile'!$M$14</f>
        <v>1085.2331026910883</v>
      </c>
      <c r="J11" s="28">
        <v>6509.5446183394797</v>
      </c>
      <c r="K11" s="28">
        <v>145.17165371589016</v>
      </c>
      <c r="L11" s="73">
        <v>225.44509443475349</v>
      </c>
      <c r="M11" s="73">
        <v>1773.2900391580802</v>
      </c>
      <c r="N11" s="21">
        <v>0.93500000000000005</v>
      </c>
      <c r="O11" s="21">
        <v>0.79700000000000004</v>
      </c>
      <c r="P11" s="21">
        <v>0.92300000000000004</v>
      </c>
      <c r="Q11" s="532">
        <f t="shared" si="2"/>
        <v>72.585826857945079</v>
      </c>
    </row>
    <row r="12" spans="1:17" x14ac:dyDescent="0.3">
      <c r="A12" s="27">
        <v>11</v>
      </c>
      <c r="B12" s="28">
        <f t="shared" si="0"/>
        <v>8664.8765926625474</v>
      </c>
      <c r="C12" s="28">
        <f t="shared" si="1"/>
        <v>503.42657570224389</v>
      </c>
      <c r="D12" s="73">
        <f>K12*'Housing Stock Defaults'!$K$10/'Appliance Stock Profile'!$K$9</f>
        <v>232.59835508524864</v>
      </c>
      <c r="E12" s="73">
        <f>L12*'Housing Stock Defaults'!$K$11/'Appliance Stock Profile'!$K$10</f>
        <v>247.39994363161182</v>
      </c>
      <c r="F12" s="28">
        <v>23.42827698538343</v>
      </c>
      <c r="G12" s="73">
        <f>M12*'Housing Stock Defaults'!$K$9/'Appliance Stock Profile'!$K$12</f>
        <v>1654.8754815411908</v>
      </c>
      <c r="H12" s="73">
        <f>D12*$B$20*'Appliance Stock Profile'!$K$9/'Appliance Stock Profile'!$M$13</f>
        <v>1661.2450730735122</v>
      </c>
      <c r="I12" s="73">
        <f>E12*$B$20*'Appliance Stock Profile'!$K$10/'Appliance Stock Profile'!$M$14</f>
        <v>1190.9179443717621</v>
      </c>
      <c r="J12" s="28">
        <v>7010.0011111213562</v>
      </c>
      <c r="K12" s="28">
        <v>232.59835508524864</v>
      </c>
      <c r="L12" s="73">
        <v>247.39994363161182</v>
      </c>
      <c r="M12" s="73">
        <v>1654.8754815411905</v>
      </c>
      <c r="N12" s="21">
        <v>0.93300000000000005</v>
      </c>
      <c r="O12" s="21">
        <v>0.56799999999999995</v>
      </c>
      <c r="P12" s="21">
        <v>0.67200000000000004</v>
      </c>
      <c r="Q12" s="532">
        <f t="shared" si="2"/>
        <v>116.29917754262432</v>
      </c>
    </row>
    <row r="13" spans="1:17" x14ac:dyDescent="0.3">
      <c r="A13" s="27">
        <v>12</v>
      </c>
      <c r="B13" s="28">
        <f t="shared" si="0"/>
        <v>8361.6252486884696</v>
      </c>
      <c r="C13" s="28">
        <f t="shared" si="1"/>
        <v>514.77009231403349</v>
      </c>
      <c r="D13" s="73">
        <f>K13*'Housing Stock Defaults'!$K$10/'Appliance Stock Profile'!$K$9</f>
        <v>241.00594414568513</v>
      </c>
      <c r="E13" s="73">
        <f>L13*'Housing Stock Defaults'!$K$11/'Appliance Stock Profile'!$K$10</f>
        <v>249.69523822222425</v>
      </c>
      <c r="F13" s="28">
        <v>24.068909946124055</v>
      </c>
      <c r="G13" s="73">
        <f>M13*'Housing Stock Defaults'!$K$9/'Appliance Stock Profile'!$K$12</f>
        <v>1250.4375010906958</v>
      </c>
      <c r="H13" s="73">
        <f>D13*$B$20*'Appliance Stock Profile'!$K$9/'Appliance Stock Profile'!$M$13</f>
        <v>1721.2930725443505</v>
      </c>
      <c r="I13" s="73">
        <f>E13*$B$20*'Appliance Stock Profile'!$K$10/'Appliance Stock Profile'!$M$14</f>
        <v>1201.9668859174001</v>
      </c>
      <c r="J13" s="28">
        <v>7111.1877475977744</v>
      </c>
      <c r="K13" s="28">
        <v>241.00594414568516</v>
      </c>
      <c r="L13" s="73">
        <v>249.69523822222428</v>
      </c>
      <c r="M13" s="73">
        <v>1250.4375010906958</v>
      </c>
      <c r="N13" s="21">
        <v>0.94599999999999995</v>
      </c>
      <c r="O13" s="21">
        <v>0.71599999999999997</v>
      </c>
      <c r="P13" s="21">
        <v>0.85899999999999999</v>
      </c>
      <c r="Q13" s="532">
        <f t="shared" si="2"/>
        <v>120.50297207284258</v>
      </c>
    </row>
    <row r="14" spans="1:17" x14ac:dyDescent="0.3">
      <c r="A14" s="27">
        <v>13</v>
      </c>
      <c r="B14" s="28">
        <f t="shared" si="0"/>
        <v>9026.7234086424287</v>
      </c>
      <c r="C14" s="28">
        <f t="shared" si="1"/>
        <v>547.84236070791223</v>
      </c>
      <c r="D14" s="73">
        <f>K14*'Housing Stock Defaults'!$K$10/'Appliance Stock Profile'!$K$9</f>
        <v>222.36531171824458</v>
      </c>
      <c r="E14" s="73">
        <f>L14*'Housing Stock Defaults'!$K$11/'Appliance Stock Profile'!$K$10</f>
        <v>295.16615731612512</v>
      </c>
      <c r="F14" s="28">
        <v>30.31089167354256</v>
      </c>
      <c r="G14" s="73">
        <f>M14*'Housing Stock Defaults'!$K$9/'Appliance Stock Profile'!$K$12</f>
        <v>2262.1397992932784</v>
      </c>
      <c r="H14" s="73">
        <f>D14*$B$20*'Appliance Stock Profile'!$K$9/'Appliance Stock Profile'!$M$13</f>
        <v>1588.1594621724691</v>
      </c>
      <c r="I14" s="73">
        <f>E14*$B$20*'Appliance Stock Profile'!$K$10/'Appliance Stock Profile'!$M$14</f>
        <v>1420.8518731211068</v>
      </c>
      <c r="J14" s="28">
        <v>6764.5836093491507</v>
      </c>
      <c r="K14" s="28">
        <v>222.36531171824458</v>
      </c>
      <c r="L14" s="73">
        <v>295.16615731612512</v>
      </c>
      <c r="M14" s="73">
        <v>2262.1397992932784</v>
      </c>
      <c r="N14" s="21">
        <v>0.90100000000000002</v>
      </c>
      <c r="O14" s="21">
        <v>0.65900000000000003</v>
      </c>
      <c r="P14" s="21">
        <v>0.85899999999999999</v>
      </c>
      <c r="Q14" s="532">
        <f t="shared" si="2"/>
        <v>111.18265585912229</v>
      </c>
    </row>
    <row r="15" spans="1:17" x14ac:dyDescent="0.3">
      <c r="A15" s="27">
        <v>14</v>
      </c>
      <c r="B15" s="28">
        <f t="shared" si="0"/>
        <v>7908.5932540394133</v>
      </c>
      <c r="C15" s="28">
        <f t="shared" si="1"/>
        <v>458.1715848073332</v>
      </c>
      <c r="D15" s="73">
        <f>K15*'Housing Stock Defaults'!$K$10/'Appliance Stock Profile'!$K$9</f>
        <v>162.83189358512783</v>
      </c>
      <c r="E15" s="73">
        <f>L15*'Housing Stock Defaults'!$K$11/'Appliance Stock Profile'!$K$10</f>
        <v>255.21282879169914</v>
      </c>
      <c r="F15" s="28">
        <v>40.126862430506264</v>
      </c>
      <c r="G15" s="73">
        <f>M15*'Housing Stock Defaults'!$K$9/'Appliance Stock Profile'!$K$12</f>
        <v>1581.5274697760183</v>
      </c>
      <c r="H15" s="73">
        <f>D15*$B$20*'Appliance Stock Profile'!$K$9/'Appliance Stock Profile'!$M$13</f>
        <v>1162.9647202723461</v>
      </c>
      <c r="I15" s="73">
        <f>E15*$B$20*'Appliance Stock Profile'!$K$10/'Appliance Stock Profile'!$M$14</f>
        <v>1228.5271086984874</v>
      </c>
      <c r="J15" s="28">
        <v>6327.0657842633955</v>
      </c>
      <c r="K15" s="28">
        <v>162.83189358512783</v>
      </c>
      <c r="L15" s="73">
        <v>255.21282879169914</v>
      </c>
      <c r="M15" s="73">
        <v>1581.5274697760183</v>
      </c>
      <c r="N15" s="21">
        <v>0.91600000000000004</v>
      </c>
      <c r="O15" s="21">
        <v>0.71</v>
      </c>
      <c r="P15" s="21">
        <v>0.78600000000000003</v>
      </c>
      <c r="Q15" s="532">
        <f t="shared" si="2"/>
        <v>81.415946792563915</v>
      </c>
    </row>
    <row r="16" spans="1:17" x14ac:dyDescent="0.3">
      <c r="A16" s="27">
        <v>15</v>
      </c>
      <c r="B16" s="28">
        <f t="shared" si="0"/>
        <v>9536.488317193669</v>
      </c>
      <c r="C16" s="28">
        <f t="shared" si="1"/>
        <v>439.05301259499987</v>
      </c>
      <c r="D16" s="73">
        <f>K16*'Housing Stock Defaults'!$K$10/'Appliance Stock Profile'!$K$9</f>
        <v>158.04677457923381</v>
      </c>
      <c r="E16" s="73">
        <f>L16*'Housing Stock Defaults'!$K$11/'Appliance Stock Profile'!$K$10</f>
        <v>229.23653179473834</v>
      </c>
      <c r="F16" s="28">
        <v>51.769706221027697</v>
      </c>
      <c r="G16" s="73">
        <f>M16*'Housing Stock Defaults'!$K$9/'Appliance Stock Profile'!$K$12</f>
        <v>2349.9516143463957</v>
      </c>
      <c r="H16" s="73">
        <f>D16*$B$20*'Appliance Stock Profile'!$K$9/'Appliance Stock Profile'!$M$13</f>
        <v>1128.7888320993688</v>
      </c>
      <c r="I16" s="73">
        <f>E16*$B$20*'Appliance Stock Profile'!$K$10/'Appliance Stock Profile'!$M$14</f>
        <v>1103.4840801193245</v>
      </c>
      <c r="J16" s="28">
        <v>7186.5367028472729</v>
      </c>
      <c r="K16" s="28">
        <v>158.04677457923381</v>
      </c>
      <c r="L16" s="73">
        <v>229.23653179473831</v>
      </c>
      <c r="M16" s="73">
        <v>2349.9516143463957</v>
      </c>
      <c r="N16" s="21">
        <v>0.92100000000000004</v>
      </c>
      <c r="O16" s="21">
        <v>0.74299999999999999</v>
      </c>
      <c r="P16" s="21">
        <v>0.9</v>
      </c>
      <c r="Q16" s="532">
        <f t="shared" si="2"/>
        <v>79.023387289616906</v>
      </c>
    </row>
    <row r="17" spans="1:17" x14ac:dyDescent="0.3">
      <c r="A17" s="27">
        <v>16</v>
      </c>
      <c r="B17" s="28">
        <f t="shared" si="0"/>
        <v>8316.7959672714314</v>
      </c>
      <c r="C17" s="28">
        <f t="shared" si="1"/>
        <v>473.90891034667857</v>
      </c>
      <c r="D17" s="73">
        <f>K17*'Housing Stock Defaults'!$K$10/'Appliance Stock Profile'!$K$9</f>
        <v>184.75224584573596</v>
      </c>
      <c r="E17" s="73">
        <f>L17*'Housing Stock Defaults'!$K$11/'Appliance Stock Profile'!$K$10</f>
        <v>252.61458393940481</v>
      </c>
      <c r="F17" s="28">
        <v>36.542080561537745</v>
      </c>
      <c r="G17" s="73">
        <f>M17*'Housing Stock Defaults'!$K$9/'Appliance Stock Profile'!$K$12</f>
        <v>1678.4846211811284</v>
      </c>
      <c r="H17" s="73">
        <f>D17*$B$20*'Appliance Stock Profile'!$K$9/'Appliance Stock Profile'!$M$13</f>
        <v>1319.5224791594403</v>
      </c>
      <c r="I17" s="73">
        <f>E17*$B$20*'Appliance Stock Profile'!$K$10/'Appliance Stock Profile'!$M$14</f>
        <v>1216.0198446585393</v>
      </c>
      <c r="J17" s="28">
        <v>6638.3113460903023</v>
      </c>
      <c r="K17" s="28">
        <v>184.75224584573596</v>
      </c>
      <c r="L17" s="73">
        <v>252.61458393940481</v>
      </c>
      <c r="M17" s="73">
        <v>1678.4846211811284</v>
      </c>
      <c r="N17" s="21">
        <v>0.63500000000000001</v>
      </c>
      <c r="O17" s="21">
        <v>0.45900000000000002</v>
      </c>
      <c r="P17" s="21">
        <v>0.46400000000000002</v>
      </c>
      <c r="Q17" s="532">
        <f t="shared" si="2"/>
        <v>92.376122922867978</v>
      </c>
    </row>
    <row r="18" spans="1:17" x14ac:dyDescent="0.3">
      <c r="A18" s="98">
        <v>1</v>
      </c>
      <c r="B18" s="98">
        <v>2</v>
      </c>
      <c r="C18" s="98">
        <v>3</v>
      </c>
      <c r="D18" s="98">
        <v>4</v>
      </c>
      <c r="E18" s="98">
        <v>5</v>
      </c>
      <c r="F18" s="98">
        <v>6</v>
      </c>
      <c r="G18" s="98">
        <v>7</v>
      </c>
      <c r="H18" s="98">
        <v>8</v>
      </c>
      <c r="I18" s="98">
        <v>9</v>
      </c>
      <c r="J18" s="98">
        <v>10</v>
      </c>
      <c r="K18" s="98">
        <v>11</v>
      </c>
      <c r="L18" s="98">
        <v>12</v>
      </c>
      <c r="M18" s="98">
        <v>13</v>
      </c>
      <c r="N18" s="98">
        <v>14</v>
      </c>
      <c r="O18" s="98">
        <v>15</v>
      </c>
      <c r="P18" s="98">
        <v>16</v>
      </c>
    </row>
    <row r="19" spans="1:17" x14ac:dyDescent="0.3">
      <c r="A19" s="98" t="s">
        <v>669</v>
      </c>
    </row>
    <row r="20" spans="1:17" x14ac:dyDescent="0.3">
      <c r="A20" s="19" t="s">
        <v>104</v>
      </c>
      <c r="B20" s="20">
        <v>29.300999999999998</v>
      </c>
      <c r="C20" s="17" t="s">
        <v>105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952EF-9D7E-4B40-A92F-91A5FC3D42B2}">
  <sheetPr codeName="Sheet2"/>
  <dimension ref="A1:I45"/>
  <sheetViews>
    <sheetView workbookViewId="0">
      <pane ySplit="1" topLeftCell="A2" activePane="bottomLeft" state="frozen"/>
      <selection activeCell="E31" sqref="E31"/>
      <selection pane="bottomLeft" activeCell="B11" sqref="B11"/>
    </sheetView>
  </sheetViews>
  <sheetFormatPr defaultRowHeight="14.4" x14ac:dyDescent="0.3"/>
  <cols>
    <col min="1" max="1" width="178.109375" style="13" customWidth="1"/>
    <col min="2" max="16384" width="8.88671875" style="82"/>
  </cols>
  <sheetData>
    <row r="1" spans="1:9" ht="21" x14ac:dyDescent="0.4">
      <c r="A1" s="112" t="s">
        <v>0</v>
      </c>
      <c r="B1" s="232"/>
      <c r="C1" s="232"/>
      <c r="D1" s="232"/>
      <c r="E1" s="232"/>
      <c r="F1" s="232"/>
      <c r="G1" s="232"/>
      <c r="H1" s="232"/>
      <c r="I1" s="232"/>
    </row>
    <row r="2" spans="1:9" ht="21" x14ac:dyDescent="0.3">
      <c r="A2" s="113" t="s">
        <v>1</v>
      </c>
    </row>
    <row r="3" spans="1:9" ht="28.8" x14ac:dyDescent="0.3">
      <c r="A3" s="114" t="s">
        <v>2</v>
      </c>
    </row>
    <row r="4" spans="1:9" x14ac:dyDescent="0.3">
      <c r="A4" s="235" t="s">
        <v>3</v>
      </c>
    </row>
    <row r="5" spans="1:9" ht="28.8" x14ac:dyDescent="0.3">
      <c r="A5" s="235" t="s">
        <v>543</v>
      </c>
    </row>
    <row r="6" spans="1:9" x14ac:dyDescent="0.3">
      <c r="A6" s="235" t="s">
        <v>4</v>
      </c>
    </row>
    <row r="7" spans="1:9" x14ac:dyDescent="0.3">
      <c r="A7" s="235" t="s">
        <v>5</v>
      </c>
    </row>
    <row r="8" spans="1:9" x14ac:dyDescent="0.3">
      <c r="A8" s="235" t="s">
        <v>544</v>
      </c>
    </row>
    <row r="9" spans="1:9" x14ac:dyDescent="0.3">
      <c r="A9" s="235"/>
    </row>
    <row r="10" spans="1:9" x14ac:dyDescent="0.3">
      <c r="A10" s="114" t="s">
        <v>6</v>
      </c>
    </row>
    <row r="11" spans="1:9" ht="57.6" x14ac:dyDescent="0.3">
      <c r="A11" s="115" t="s">
        <v>545</v>
      </c>
    </row>
    <row r="12" spans="1:9" ht="28.8" x14ac:dyDescent="0.3">
      <c r="A12" s="115" t="s">
        <v>546</v>
      </c>
    </row>
    <row r="13" spans="1:9" ht="28.8" x14ac:dyDescent="0.3">
      <c r="A13" s="235" t="s">
        <v>547</v>
      </c>
    </row>
    <row r="14" spans="1:9" x14ac:dyDescent="0.3">
      <c r="A14" s="115"/>
    </row>
    <row r="15" spans="1:9" ht="21" x14ac:dyDescent="0.3">
      <c r="A15" s="113" t="s">
        <v>548</v>
      </c>
    </row>
    <row r="16" spans="1:9" ht="43.8" customHeight="1" x14ac:dyDescent="0.3">
      <c r="A16" s="233" t="s">
        <v>575</v>
      </c>
    </row>
    <row r="17" spans="1:1" ht="43.2" x14ac:dyDescent="0.3">
      <c r="A17" s="118" t="s">
        <v>576</v>
      </c>
    </row>
    <row r="18" spans="1:1" x14ac:dyDescent="0.3">
      <c r="A18" s="205" t="s">
        <v>577</v>
      </c>
    </row>
    <row r="19" spans="1:1" x14ac:dyDescent="0.3">
      <c r="A19" s="114"/>
    </row>
    <row r="20" spans="1:1" ht="21" x14ac:dyDescent="0.3">
      <c r="A20" s="113" t="s">
        <v>7</v>
      </c>
    </row>
    <row r="21" spans="1:1" x14ac:dyDescent="0.3">
      <c r="A21" s="117" t="s">
        <v>8</v>
      </c>
    </row>
    <row r="22" spans="1:1" x14ac:dyDescent="0.3">
      <c r="A22" s="117" t="s">
        <v>9</v>
      </c>
    </row>
    <row r="23" spans="1:1" x14ac:dyDescent="0.3">
      <c r="A23" s="117" t="s">
        <v>10</v>
      </c>
    </row>
    <row r="24" spans="1:1" ht="28.8" x14ac:dyDescent="0.3">
      <c r="A24" s="117" t="s">
        <v>11</v>
      </c>
    </row>
    <row r="25" spans="1:1" x14ac:dyDescent="0.3">
      <c r="A25" s="115" t="s">
        <v>549</v>
      </c>
    </row>
    <row r="26" spans="1:1" x14ac:dyDescent="0.3">
      <c r="A26" s="115" t="s">
        <v>550</v>
      </c>
    </row>
    <row r="27" spans="1:1" x14ac:dyDescent="0.3">
      <c r="A27" s="115" t="s">
        <v>12</v>
      </c>
    </row>
    <row r="28" spans="1:1" x14ac:dyDescent="0.3">
      <c r="A28" s="115" t="s">
        <v>13</v>
      </c>
    </row>
    <row r="29" spans="1:1" x14ac:dyDescent="0.3">
      <c r="A29" s="115" t="s">
        <v>14</v>
      </c>
    </row>
    <row r="30" spans="1:1" x14ac:dyDescent="0.3">
      <c r="A30" s="115" t="s">
        <v>15</v>
      </c>
    </row>
    <row r="31" spans="1:1" x14ac:dyDescent="0.3">
      <c r="A31" s="115" t="s">
        <v>16</v>
      </c>
    </row>
    <row r="32" spans="1:1" x14ac:dyDescent="0.3">
      <c r="A32" s="117" t="s">
        <v>17</v>
      </c>
    </row>
    <row r="33" spans="1:1" ht="43.2" x14ac:dyDescent="0.3">
      <c r="A33" s="117" t="s">
        <v>551</v>
      </c>
    </row>
    <row r="34" spans="1:1" x14ac:dyDescent="0.3">
      <c r="A34" s="238" t="s">
        <v>584</v>
      </c>
    </row>
    <row r="35" spans="1:1" x14ac:dyDescent="0.3">
      <c r="A35" s="238" t="s">
        <v>585</v>
      </c>
    </row>
    <row r="36" spans="1:1" x14ac:dyDescent="0.3">
      <c r="A36" s="117"/>
    </row>
    <row r="37" spans="1:1" ht="17.399999999999999" x14ac:dyDescent="0.3">
      <c r="A37" s="116" t="s">
        <v>18</v>
      </c>
    </row>
    <row r="38" spans="1:1" ht="28.8" x14ac:dyDescent="0.3">
      <c r="A38" s="114" t="s">
        <v>580</v>
      </c>
    </row>
    <row r="39" spans="1:1" ht="28.8" x14ac:dyDescent="0.3">
      <c r="A39" s="13" t="s">
        <v>582</v>
      </c>
    </row>
    <row r="41" spans="1:1" ht="17.399999999999999" x14ac:dyDescent="0.3">
      <c r="A41" s="116" t="s">
        <v>579</v>
      </c>
    </row>
    <row r="42" spans="1:1" ht="43.2" x14ac:dyDescent="0.3">
      <c r="A42" s="114" t="s">
        <v>581</v>
      </c>
    </row>
    <row r="43" spans="1:1" ht="28.8" x14ac:dyDescent="0.3">
      <c r="A43" s="13" t="s">
        <v>583</v>
      </c>
    </row>
    <row r="45" spans="1:1" x14ac:dyDescent="0.3">
      <c r="A45" s="13" t="s">
        <v>503</v>
      </c>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17A0-EEA9-41E3-916B-EA26B93FBE6F}">
  <sheetPr codeName="Sheet18"/>
  <dimension ref="A1:E118"/>
  <sheetViews>
    <sheetView workbookViewId="0">
      <selection activeCell="E42" sqref="E42"/>
    </sheetView>
  </sheetViews>
  <sheetFormatPr defaultRowHeight="14.4" x14ac:dyDescent="0.3"/>
  <cols>
    <col min="1" max="1" width="17.33203125" bestFit="1" customWidth="1"/>
    <col min="2" max="2" width="12" bestFit="1" customWidth="1"/>
    <col min="3" max="3" width="22.44140625" bestFit="1" customWidth="1"/>
    <col min="4" max="4" width="21" bestFit="1" customWidth="1"/>
    <col min="5" max="5" width="15.44140625" bestFit="1" customWidth="1"/>
  </cols>
  <sheetData>
    <row r="1" spans="1:5" s="16" customFormat="1" ht="28.8" x14ac:dyDescent="0.3">
      <c r="A1" s="16" t="s">
        <v>22</v>
      </c>
      <c r="B1" s="16" t="s">
        <v>20</v>
      </c>
      <c r="C1" s="16" t="s">
        <v>216</v>
      </c>
      <c r="D1" s="16" t="s">
        <v>217</v>
      </c>
      <c r="E1" s="16" t="s">
        <v>56</v>
      </c>
    </row>
    <row r="2" spans="1:5" x14ac:dyDescent="0.3">
      <c r="A2" s="82" t="s">
        <v>278</v>
      </c>
      <c r="B2" s="82" t="s">
        <v>278</v>
      </c>
      <c r="C2" s="82" t="s">
        <v>223</v>
      </c>
      <c r="D2" s="82" t="s">
        <v>227</v>
      </c>
      <c r="E2" s="82">
        <v>3</v>
      </c>
    </row>
    <row r="3" spans="1:5" x14ac:dyDescent="0.3">
      <c r="A3" s="82" t="s">
        <v>279</v>
      </c>
      <c r="B3" s="82" t="s">
        <v>278</v>
      </c>
      <c r="C3" s="82" t="s">
        <v>232</v>
      </c>
      <c r="D3" s="82" t="s">
        <v>227</v>
      </c>
      <c r="E3" s="82">
        <v>3</v>
      </c>
    </row>
    <row r="4" spans="1:5" x14ac:dyDescent="0.3">
      <c r="A4" s="82" t="s">
        <v>280</v>
      </c>
      <c r="B4" s="82" t="s">
        <v>281</v>
      </c>
      <c r="C4" s="82" t="s">
        <v>235</v>
      </c>
      <c r="D4" s="82" t="s">
        <v>227</v>
      </c>
      <c r="E4" s="15">
        <v>2</v>
      </c>
    </row>
    <row r="5" spans="1:5" x14ac:dyDescent="0.3">
      <c r="A5" s="82" t="s">
        <v>282</v>
      </c>
      <c r="B5" s="82" t="s">
        <v>283</v>
      </c>
      <c r="C5" s="82" t="s">
        <v>227</v>
      </c>
      <c r="D5" s="82" t="s">
        <v>227</v>
      </c>
      <c r="E5" s="82">
        <v>12</v>
      </c>
    </row>
    <row r="6" spans="1:5" x14ac:dyDescent="0.3">
      <c r="A6" s="82" t="s">
        <v>284</v>
      </c>
      <c r="B6" s="82" t="s">
        <v>285</v>
      </c>
      <c r="C6" s="82" t="s">
        <v>239</v>
      </c>
      <c r="D6" s="82" t="s">
        <v>227</v>
      </c>
      <c r="E6" s="15">
        <v>3</v>
      </c>
    </row>
    <row r="7" spans="1:5" x14ac:dyDescent="0.3">
      <c r="A7" s="82" t="s">
        <v>286</v>
      </c>
      <c r="B7" s="82" t="s">
        <v>285</v>
      </c>
      <c r="C7" s="82" t="s">
        <v>239</v>
      </c>
      <c r="D7" s="82" t="s">
        <v>227</v>
      </c>
      <c r="E7" s="82">
        <v>3</v>
      </c>
    </row>
    <row r="8" spans="1:5" x14ac:dyDescent="0.3">
      <c r="A8" s="82" t="s">
        <v>287</v>
      </c>
      <c r="B8" s="82" t="s">
        <v>288</v>
      </c>
      <c r="C8" s="82" t="s">
        <v>235</v>
      </c>
      <c r="D8" s="82" t="s">
        <v>227</v>
      </c>
      <c r="E8" s="82">
        <v>3</v>
      </c>
    </row>
    <row r="9" spans="1:5" x14ac:dyDescent="0.3">
      <c r="A9" s="82" t="s">
        <v>289</v>
      </c>
      <c r="B9" s="82" t="s">
        <v>290</v>
      </c>
      <c r="C9" s="82" t="s">
        <v>235</v>
      </c>
      <c r="D9" s="82" t="s">
        <v>227</v>
      </c>
      <c r="E9" s="15">
        <v>12</v>
      </c>
    </row>
    <row r="10" spans="1:5" x14ac:dyDescent="0.3">
      <c r="A10" s="82" t="s">
        <v>291</v>
      </c>
      <c r="B10" s="82" t="s">
        <v>278</v>
      </c>
      <c r="C10" s="82" t="s">
        <v>232</v>
      </c>
      <c r="D10" s="82" t="s">
        <v>227</v>
      </c>
      <c r="E10" s="82">
        <v>3</v>
      </c>
    </row>
    <row r="11" spans="1:5" x14ac:dyDescent="0.3">
      <c r="A11" s="82" t="s">
        <v>292</v>
      </c>
      <c r="B11" s="82" t="s">
        <v>283</v>
      </c>
      <c r="C11" s="82" t="s">
        <v>227</v>
      </c>
      <c r="D11" s="82" t="s">
        <v>227</v>
      </c>
      <c r="E11" s="82">
        <v>12</v>
      </c>
    </row>
    <row r="12" spans="1:5" x14ac:dyDescent="0.3">
      <c r="A12" s="82" t="s">
        <v>293</v>
      </c>
      <c r="B12" s="82" t="s">
        <v>285</v>
      </c>
      <c r="C12" s="82" t="s">
        <v>239</v>
      </c>
      <c r="D12" s="82" t="s">
        <v>227</v>
      </c>
      <c r="E12" s="82">
        <v>3</v>
      </c>
    </row>
    <row r="13" spans="1:5" x14ac:dyDescent="0.3">
      <c r="A13" s="82" t="s">
        <v>294</v>
      </c>
      <c r="B13" s="82" t="s">
        <v>285</v>
      </c>
      <c r="C13" s="82" t="s">
        <v>239</v>
      </c>
      <c r="D13" s="82" t="s">
        <v>227</v>
      </c>
      <c r="E13" s="82">
        <v>3</v>
      </c>
    </row>
    <row r="14" spans="1:5" x14ac:dyDescent="0.3">
      <c r="A14" s="82" t="s">
        <v>295</v>
      </c>
      <c r="B14" s="82" t="s">
        <v>281</v>
      </c>
      <c r="C14" s="82" t="s">
        <v>235</v>
      </c>
      <c r="D14" s="82" t="s">
        <v>227</v>
      </c>
      <c r="E14" s="82">
        <v>2</v>
      </c>
    </row>
    <row r="15" spans="1:5" x14ac:dyDescent="0.3">
      <c r="A15" s="82" t="s">
        <v>296</v>
      </c>
      <c r="B15" s="82" t="s">
        <v>21</v>
      </c>
      <c r="C15" s="82" t="s">
        <v>247</v>
      </c>
      <c r="D15" s="82" t="s">
        <v>227</v>
      </c>
      <c r="E15" s="15">
        <v>4</v>
      </c>
    </row>
    <row r="16" spans="1:5" x14ac:dyDescent="0.3">
      <c r="A16" s="82" t="s">
        <v>297</v>
      </c>
      <c r="B16" s="82" t="s">
        <v>283</v>
      </c>
      <c r="C16" s="82" t="s">
        <v>227</v>
      </c>
      <c r="D16" s="82" t="s">
        <v>227</v>
      </c>
      <c r="E16" s="82">
        <v>12</v>
      </c>
    </row>
    <row r="17" spans="1:5" x14ac:dyDescent="0.3">
      <c r="A17" s="82" t="s">
        <v>298</v>
      </c>
      <c r="B17" s="82" t="s">
        <v>299</v>
      </c>
      <c r="C17" s="82" t="s">
        <v>248</v>
      </c>
      <c r="D17" s="82" t="s">
        <v>227</v>
      </c>
      <c r="E17" s="82">
        <v>1</v>
      </c>
    </row>
    <row r="18" spans="1:5" x14ac:dyDescent="0.3">
      <c r="A18" s="82" t="s">
        <v>300</v>
      </c>
      <c r="B18" s="82" t="s">
        <v>285</v>
      </c>
      <c r="C18" s="82" t="s">
        <v>239</v>
      </c>
      <c r="D18" s="82" t="s">
        <v>227</v>
      </c>
      <c r="E18" s="82">
        <v>3</v>
      </c>
    </row>
    <row r="19" spans="1:5" x14ac:dyDescent="0.3">
      <c r="A19" s="82" t="s">
        <v>301</v>
      </c>
      <c r="B19" s="82" t="s">
        <v>283</v>
      </c>
      <c r="C19" s="82" t="s">
        <v>235</v>
      </c>
      <c r="D19" s="82" t="s">
        <v>227</v>
      </c>
      <c r="E19" s="82">
        <v>12</v>
      </c>
    </row>
    <row r="20" spans="1:5" x14ac:dyDescent="0.3">
      <c r="A20" s="82" t="s">
        <v>302</v>
      </c>
      <c r="B20" s="82" t="s">
        <v>288</v>
      </c>
      <c r="C20" s="82" t="s">
        <v>235</v>
      </c>
      <c r="D20" s="82" t="s">
        <v>227</v>
      </c>
      <c r="E20" s="82">
        <v>3</v>
      </c>
    </row>
    <row r="21" spans="1:5" x14ac:dyDescent="0.3">
      <c r="A21" s="82" t="s">
        <v>303</v>
      </c>
      <c r="B21" s="82" t="s">
        <v>299</v>
      </c>
      <c r="C21" s="82" t="s">
        <v>248</v>
      </c>
      <c r="D21" s="82" t="s">
        <v>227</v>
      </c>
      <c r="E21" s="82">
        <v>2</v>
      </c>
    </row>
    <row r="22" spans="1:5" x14ac:dyDescent="0.3">
      <c r="A22" s="82" t="s">
        <v>304</v>
      </c>
      <c r="B22" s="82" t="s">
        <v>21</v>
      </c>
      <c r="C22" s="82" t="s">
        <v>247</v>
      </c>
      <c r="D22" s="82" t="s">
        <v>227</v>
      </c>
      <c r="E22" s="82">
        <v>4</v>
      </c>
    </row>
    <row r="23" spans="1:5" x14ac:dyDescent="0.3">
      <c r="A23" s="82" t="s">
        <v>305</v>
      </c>
      <c r="B23" s="82" t="s">
        <v>285</v>
      </c>
      <c r="C23" s="82" t="s">
        <v>239</v>
      </c>
      <c r="D23" s="82" t="s">
        <v>227</v>
      </c>
      <c r="E23" s="82">
        <v>3</v>
      </c>
    </row>
    <row r="24" spans="1:5" x14ac:dyDescent="0.3">
      <c r="A24" s="82" t="s">
        <v>306</v>
      </c>
      <c r="B24" s="82" t="s">
        <v>283</v>
      </c>
      <c r="C24" s="82" t="s">
        <v>235</v>
      </c>
      <c r="D24" s="82" t="s">
        <v>227</v>
      </c>
      <c r="E24" s="82">
        <v>12</v>
      </c>
    </row>
    <row r="25" spans="1:5" x14ac:dyDescent="0.3">
      <c r="A25" s="82" t="s">
        <v>307</v>
      </c>
      <c r="B25" s="82" t="s">
        <v>290</v>
      </c>
      <c r="C25" s="82" t="s">
        <v>227</v>
      </c>
      <c r="D25" s="82" t="s">
        <v>227</v>
      </c>
      <c r="E25" s="82">
        <v>12</v>
      </c>
    </row>
    <row r="26" spans="1:5" x14ac:dyDescent="0.3">
      <c r="A26" s="82" t="s">
        <v>308</v>
      </c>
      <c r="B26" s="82" t="s">
        <v>278</v>
      </c>
      <c r="C26" s="82" t="s">
        <v>232</v>
      </c>
      <c r="D26" s="82" t="s">
        <v>227</v>
      </c>
      <c r="E26" s="82">
        <v>12</v>
      </c>
    </row>
    <row r="27" spans="1:5" x14ac:dyDescent="0.3">
      <c r="A27" s="82" t="s">
        <v>309</v>
      </c>
      <c r="B27" s="82" t="s">
        <v>285</v>
      </c>
      <c r="C27" s="82" t="s">
        <v>239</v>
      </c>
      <c r="D27" s="82" t="s">
        <v>227</v>
      </c>
      <c r="E27" s="82">
        <v>4</v>
      </c>
    </row>
    <row r="28" spans="1:5" x14ac:dyDescent="0.3">
      <c r="A28" s="82" t="s">
        <v>310</v>
      </c>
      <c r="B28" s="82" t="s">
        <v>283</v>
      </c>
      <c r="C28" s="82" t="s">
        <v>235</v>
      </c>
      <c r="D28" s="82" t="s">
        <v>227</v>
      </c>
      <c r="E28" s="82">
        <v>3</v>
      </c>
    </row>
    <row r="29" spans="1:5" x14ac:dyDescent="0.3">
      <c r="A29" s="82" t="s">
        <v>311</v>
      </c>
      <c r="B29" s="82" t="s">
        <v>278</v>
      </c>
      <c r="C29" s="82" t="s">
        <v>232</v>
      </c>
      <c r="D29" s="82" t="s">
        <v>227</v>
      </c>
      <c r="E29" s="82">
        <v>3</v>
      </c>
    </row>
    <row r="30" spans="1:5" x14ac:dyDescent="0.3">
      <c r="A30" s="82" t="s">
        <v>312</v>
      </c>
      <c r="B30" s="82" t="s">
        <v>288</v>
      </c>
      <c r="C30" s="82" t="s">
        <v>235</v>
      </c>
      <c r="D30" s="82" t="s">
        <v>227</v>
      </c>
      <c r="E30" s="82">
        <v>2</v>
      </c>
    </row>
    <row r="31" spans="1:5" x14ac:dyDescent="0.3">
      <c r="A31" s="82" t="s">
        <v>313</v>
      </c>
      <c r="B31" s="82" t="s">
        <v>290</v>
      </c>
      <c r="C31" s="82" t="s">
        <v>227</v>
      </c>
      <c r="D31" s="82" t="s">
        <v>227</v>
      </c>
      <c r="E31" s="82">
        <v>12</v>
      </c>
    </row>
    <row r="32" spans="1:5" x14ac:dyDescent="0.3">
      <c r="A32" s="82" t="s">
        <v>314</v>
      </c>
      <c r="B32" s="82" t="s">
        <v>285</v>
      </c>
      <c r="C32" s="82" t="s">
        <v>239</v>
      </c>
      <c r="D32" s="82" t="s">
        <v>227</v>
      </c>
      <c r="E32" s="82">
        <v>3</v>
      </c>
    </row>
    <row r="33" spans="1:5" x14ac:dyDescent="0.3">
      <c r="A33" s="82" t="s">
        <v>315</v>
      </c>
      <c r="B33" s="82" t="s">
        <v>278</v>
      </c>
      <c r="C33" s="82" t="s">
        <v>232</v>
      </c>
      <c r="D33" s="82" t="s">
        <v>227</v>
      </c>
      <c r="E33" s="82">
        <v>3</v>
      </c>
    </row>
    <row r="34" spans="1:5" x14ac:dyDescent="0.3">
      <c r="A34" s="82" t="s">
        <v>316</v>
      </c>
      <c r="B34" s="82" t="s">
        <v>21</v>
      </c>
      <c r="C34" s="82" t="s">
        <v>247</v>
      </c>
      <c r="D34" s="82" t="s">
        <v>227</v>
      </c>
      <c r="E34" s="82">
        <v>4</v>
      </c>
    </row>
    <row r="35" spans="1:5" x14ac:dyDescent="0.3">
      <c r="A35" s="82" t="s">
        <v>317</v>
      </c>
      <c r="B35" s="82" t="s">
        <v>285</v>
      </c>
      <c r="C35" s="82" t="s">
        <v>239</v>
      </c>
      <c r="D35" s="82" t="s">
        <v>227</v>
      </c>
      <c r="E35" s="82">
        <v>3</v>
      </c>
    </row>
    <row r="36" spans="1:5" x14ac:dyDescent="0.3">
      <c r="A36" s="82" t="s">
        <v>318</v>
      </c>
      <c r="B36" s="82" t="s">
        <v>278</v>
      </c>
      <c r="C36" s="82" t="s">
        <v>232</v>
      </c>
      <c r="D36" s="82" t="s">
        <v>227</v>
      </c>
      <c r="E36" s="82">
        <v>3</v>
      </c>
    </row>
    <row r="37" spans="1:5" x14ac:dyDescent="0.3">
      <c r="A37" s="82" t="s">
        <v>319</v>
      </c>
      <c r="B37" s="82" t="s">
        <v>299</v>
      </c>
      <c r="C37" s="82" t="s">
        <v>234</v>
      </c>
      <c r="D37" s="82" t="s">
        <v>227</v>
      </c>
      <c r="E37" s="82">
        <v>2</v>
      </c>
    </row>
    <row r="38" spans="1:5" x14ac:dyDescent="0.3">
      <c r="A38" s="82" t="s">
        <v>320</v>
      </c>
      <c r="B38" s="82" t="s">
        <v>283</v>
      </c>
      <c r="C38" s="82" t="s">
        <v>227</v>
      </c>
      <c r="D38" s="82" t="s">
        <v>227</v>
      </c>
      <c r="E38" s="82">
        <v>3</v>
      </c>
    </row>
    <row r="39" spans="1:5" x14ac:dyDescent="0.3">
      <c r="A39" s="82" t="s">
        <v>321</v>
      </c>
      <c r="B39" s="82" t="s">
        <v>285</v>
      </c>
      <c r="C39" s="82" t="s">
        <v>239</v>
      </c>
      <c r="D39" s="82" t="s">
        <v>227</v>
      </c>
      <c r="E39" s="82">
        <v>3</v>
      </c>
    </row>
    <row r="40" spans="1:5" x14ac:dyDescent="0.3">
      <c r="A40" s="82" t="s">
        <v>322</v>
      </c>
      <c r="B40" s="82" t="s">
        <v>283</v>
      </c>
      <c r="C40" s="82" t="s">
        <v>235</v>
      </c>
      <c r="D40" s="82" t="s">
        <v>227</v>
      </c>
      <c r="E40" s="82">
        <v>12</v>
      </c>
    </row>
    <row r="41" spans="1:5" x14ac:dyDescent="0.3">
      <c r="A41" s="82" t="s">
        <v>323</v>
      </c>
      <c r="B41" s="82" t="s">
        <v>288</v>
      </c>
      <c r="C41" s="82" t="s">
        <v>235</v>
      </c>
      <c r="D41" s="82" t="s">
        <v>227</v>
      </c>
      <c r="E41" s="82">
        <v>2</v>
      </c>
    </row>
    <row r="42" spans="1:5" x14ac:dyDescent="0.3">
      <c r="A42" s="82" t="s">
        <v>324</v>
      </c>
      <c r="B42" s="82" t="s">
        <v>278</v>
      </c>
      <c r="C42" s="82" t="s">
        <v>232</v>
      </c>
      <c r="D42" s="82" t="s">
        <v>227</v>
      </c>
      <c r="E42" s="82">
        <v>12</v>
      </c>
    </row>
    <row r="43" spans="1:5" x14ac:dyDescent="0.3">
      <c r="A43" s="82" t="s">
        <v>325</v>
      </c>
      <c r="B43" s="82" t="s">
        <v>21</v>
      </c>
      <c r="C43" s="82" t="s">
        <v>247</v>
      </c>
      <c r="D43" s="82" t="s">
        <v>227</v>
      </c>
      <c r="E43" s="82">
        <v>4</v>
      </c>
    </row>
    <row r="44" spans="1:5" x14ac:dyDescent="0.3">
      <c r="A44" s="82" t="s">
        <v>326</v>
      </c>
      <c r="B44" s="82" t="s">
        <v>21</v>
      </c>
      <c r="C44" s="82" t="s">
        <v>247</v>
      </c>
      <c r="D44" s="82" t="s">
        <v>227</v>
      </c>
      <c r="E44" s="82">
        <v>4</v>
      </c>
    </row>
    <row r="45" spans="1:5" x14ac:dyDescent="0.3">
      <c r="A45" s="82" t="s">
        <v>327</v>
      </c>
      <c r="B45" s="82" t="s">
        <v>21</v>
      </c>
      <c r="C45" s="82" t="s">
        <v>247</v>
      </c>
      <c r="D45" s="82" t="s">
        <v>227</v>
      </c>
      <c r="E45" s="82">
        <v>4</v>
      </c>
    </row>
    <row r="46" spans="1:5" x14ac:dyDescent="0.3">
      <c r="A46" s="82" t="s">
        <v>328</v>
      </c>
      <c r="B46" s="82" t="s">
        <v>283</v>
      </c>
      <c r="C46" s="82" t="s">
        <v>235</v>
      </c>
      <c r="D46" s="82" t="s">
        <v>227</v>
      </c>
      <c r="E46" s="82">
        <v>12</v>
      </c>
    </row>
    <row r="47" spans="1:5" x14ac:dyDescent="0.3">
      <c r="A47" s="82" t="s">
        <v>329</v>
      </c>
      <c r="B47" s="82" t="s">
        <v>285</v>
      </c>
      <c r="C47" s="82" t="s">
        <v>239</v>
      </c>
      <c r="D47" s="82" t="s">
        <v>227</v>
      </c>
      <c r="E47" s="82">
        <v>3</v>
      </c>
    </row>
    <row r="48" spans="1:5" x14ac:dyDescent="0.3">
      <c r="A48" s="82" t="s">
        <v>330</v>
      </c>
      <c r="B48" s="82" t="s">
        <v>288</v>
      </c>
      <c r="C48" s="82" t="s">
        <v>235</v>
      </c>
      <c r="D48" s="82" t="s">
        <v>227</v>
      </c>
      <c r="E48" s="82">
        <v>3</v>
      </c>
    </row>
    <row r="49" spans="1:5" x14ac:dyDescent="0.3">
      <c r="A49" s="82" t="s">
        <v>331</v>
      </c>
      <c r="B49" s="82" t="s">
        <v>285</v>
      </c>
      <c r="C49" s="82" t="s">
        <v>239</v>
      </c>
      <c r="D49" s="82" t="s">
        <v>227</v>
      </c>
      <c r="E49" s="82">
        <v>3</v>
      </c>
    </row>
    <row r="50" spans="1:5" x14ac:dyDescent="0.3">
      <c r="A50" s="82" t="s">
        <v>332</v>
      </c>
      <c r="B50" s="82" t="s">
        <v>21</v>
      </c>
      <c r="C50" s="82" t="s">
        <v>247</v>
      </c>
      <c r="D50" s="82" t="s">
        <v>227</v>
      </c>
      <c r="E50" s="82">
        <v>4</v>
      </c>
    </row>
    <row r="51" spans="1:5" x14ac:dyDescent="0.3">
      <c r="A51" s="82" t="s">
        <v>333</v>
      </c>
      <c r="B51" s="82" t="s">
        <v>21</v>
      </c>
      <c r="C51" s="82" t="s">
        <v>247</v>
      </c>
      <c r="D51" s="82" t="s">
        <v>227</v>
      </c>
      <c r="E51" s="82">
        <v>4</v>
      </c>
    </row>
    <row r="52" spans="1:5" x14ac:dyDescent="0.3">
      <c r="A52" s="82" t="s">
        <v>334</v>
      </c>
      <c r="B52" s="82" t="s">
        <v>283</v>
      </c>
      <c r="C52" s="82" t="s">
        <v>235</v>
      </c>
      <c r="D52" s="82" t="s">
        <v>227</v>
      </c>
      <c r="E52" s="82">
        <v>12</v>
      </c>
    </row>
    <row r="53" spans="1:5" x14ac:dyDescent="0.3">
      <c r="A53" s="82" t="s">
        <v>335</v>
      </c>
      <c r="B53" s="82" t="s">
        <v>21</v>
      </c>
      <c r="C53" s="82" t="s">
        <v>247</v>
      </c>
      <c r="D53" s="82" t="s">
        <v>227</v>
      </c>
      <c r="E53" s="82">
        <v>4</v>
      </c>
    </row>
    <row r="54" spans="1:5" x14ac:dyDescent="0.3">
      <c r="A54" s="82" t="s">
        <v>336</v>
      </c>
      <c r="B54" s="82" t="s">
        <v>21</v>
      </c>
      <c r="C54" s="82" t="s">
        <v>247</v>
      </c>
      <c r="D54" s="82" t="s">
        <v>227</v>
      </c>
      <c r="E54" s="82">
        <v>4</v>
      </c>
    </row>
    <row r="55" spans="1:5" x14ac:dyDescent="0.3">
      <c r="A55" s="82" t="s">
        <v>281</v>
      </c>
      <c r="B55" s="82" t="s">
        <v>281</v>
      </c>
      <c r="C55" s="82" t="s">
        <v>235</v>
      </c>
      <c r="D55" s="82" t="s">
        <v>227</v>
      </c>
      <c r="E55" s="82">
        <v>2</v>
      </c>
    </row>
    <row r="56" spans="1:5" x14ac:dyDescent="0.3">
      <c r="A56" s="82" t="s">
        <v>337</v>
      </c>
      <c r="B56" s="82" t="s">
        <v>278</v>
      </c>
      <c r="C56" s="82" t="s">
        <v>232</v>
      </c>
      <c r="D56" s="82" t="s">
        <v>227</v>
      </c>
      <c r="E56" s="82">
        <v>3</v>
      </c>
    </row>
    <row r="57" spans="1:5" x14ac:dyDescent="0.3">
      <c r="A57" s="82" t="s">
        <v>338</v>
      </c>
      <c r="B57" s="82" t="s">
        <v>288</v>
      </c>
      <c r="C57" s="82" t="s">
        <v>235</v>
      </c>
      <c r="D57" s="82" t="s">
        <v>227</v>
      </c>
      <c r="E57" s="82">
        <v>2</v>
      </c>
    </row>
    <row r="58" spans="1:5" x14ac:dyDescent="0.3">
      <c r="A58" s="82" t="s">
        <v>339</v>
      </c>
      <c r="B58" s="82" t="s">
        <v>278</v>
      </c>
      <c r="C58" s="82" t="s">
        <v>232</v>
      </c>
      <c r="D58" s="82" t="s">
        <v>227</v>
      </c>
      <c r="E58" s="82">
        <v>3</v>
      </c>
    </row>
    <row r="59" spans="1:5" x14ac:dyDescent="0.3">
      <c r="A59" s="82" t="s">
        <v>340</v>
      </c>
      <c r="B59" s="82" t="s">
        <v>283</v>
      </c>
      <c r="C59" s="82" t="s">
        <v>235</v>
      </c>
      <c r="D59" s="82" t="s">
        <v>227</v>
      </c>
      <c r="E59" s="82">
        <v>12</v>
      </c>
    </row>
    <row r="60" spans="1:5" x14ac:dyDescent="0.3">
      <c r="A60" s="82" t="s">
        <v>341</v>
      </c>
      <c r="B60" s="82" t="s">
        <v>283</v>
      </c>
      <c r="C60" s="82" t="s">
        <v>227</v>
      </c>
      <c r="D60" s="82" t="s">
        <v>227</v>
      </c>
      <c r="E60" s="82">
        <v>12</v>
      </c>
    </row>
    <row r="61" spans="1:5" x14ac:dyDescent="0.3">
      <c r="A61" s="82" t="s">
        <v>342</v>
      </c>
      <c r="B61" s="82" t="s">
        <v>285</v>
      </c>
      <c r="C61" s="82" t="s">
        <v>239</v>
      </c>
      <c r="D61" s="82" t="s">
        <v>227</v>
      </c>
      <c r="E61" s="82">
        <v>3</v>
      </c>
    </row>
    <row r="62" spans="1:5" x14ac:dyDescent="0.3">
      <c r="A62" s="82" t="s">
        <v>343</v>
      </c>
      <c r="B62" s="82" t="s">
        <v>21</v>
      </c>
      <c r="C62" s="82" t="s">
        <v>224</v>
      </c>
      <c r="D62" s="82" t="s">
        <v>224</v>
      </c>
      <c r="E62" s="82">
        <v>4</v>
      </c>
    </row>
    <row r="63" spans="1:5" x14ac:dyDescent="0.3">
      <c r="A63" s="82" t="s">
        <v>344</v>
      </c>
      <c r="B63" s="82" t="s">
        <v>299</v>
      </c>
      <c r="C63" s="82" t="s">
        <v>248</v>
      </c>
      <c r="D63" s="82" t="s">
        <v>227</v>
      </c>
      <c r="E63" s="82">
        <v>2</v>
      </c>
    </row>
    <row r="64" spans="1:5" x14ac:dyDescent="0.3">
      <c r="A64" s="82" t="s">
        <v>345</v>
      </c>
      <c r="B64" s="82" t="s">
        <v>278</v>
      </c>
      <c r="C64" s="82" t="s">
        <v>232</v>
      </c>
      <c r="D64" s="82" t="s">
        <v>227</v>
      </c>
      <c r="E64" s="82">
        <v>3</v>
      </c>
    </row>
    <row r="65" spans="1:5" x14ac:dyDescent="0.3">
      <c r="A65" s="82" t="s">
        <v>346</v>
      </c>
      <c r="B65" s="82" t="s">
        <v>283</v>
      </c>
      <c r="C65" s="82" t="s">
        <v>235</v>
      </c>
      <c r="D65" s="82" t="s">
        <v>227</v>
      </c>
      <c r="E65" s="82">
        <v>3</v>
      </c>
    </row>
    <row r="66" spans="1:5" x14ac:dyDescent="0.3">
      <c r="A66" s="82" t="s">
        <v>347</v>
      </c>
      <c r="B66" s="82" t="s">
        <v>283</v>
      </c>
      <c r="C66" s="82" t="s">
        <v>235</v>
      </c>
      <c r="D66" s="82" t="s">
        <v>227</v>
      </c>
      <c r="E66" s="82">
        <v>12</v>
      </c>
    </row>
    <row r="67" spans="1:5" x14ac:dyDescent="0.3">
      <c r="A67" s="82" t="s">
        <v>348</v>
      </c>
      <c r="B67" s="82" t="s">
        <v>283</v>
      </c>
      <c r="C67" s="82" t="s">
        <v>235</v>
      </c>
      <c r="D67" s="82" t="s">
        <v>227</v>
      </c>
      <c r="E67" s="82">
        <v>12</v>
      </c>
    </row>
    <row r="68" spans="1:5" x14ac:dyDescent="0.3">
      <c r="A68" s="82" t="s">
        <v>349</v>
      </c>
      <c r="B68" s="82" t="s">
        <v>278</v>
      </c>
      <c r="C68" s="82" t="s">
        <v>232</v>
      </c>
      <c r="D68" s="82" t="s">
        <v>227</v>
      </c>
      <c r="E68" s="82">
        <v>12</v>
      </c>
    </row>
    <row r="69" spans="1:5" x14ac:dyDescent="0.3">
      <c r="A69" s="82" t="s">
        <v>350</v>
      </c>
      <c r="B69" s="82" t="s">
        <v>285</v>
      </c>
      <c r="C69" s="82" t="s">
        <v>239</v>
      </c>
      <c r="D69" s="82" t="s">
        <v>227</v>
      </c>
      <c r="E69" s="82">
        <v>3</v>
      </c>
    </row>
    <row r="70" spans="1:5" x14ac:dyDescent="0.3">
      <c r="A70" s="82" t="s">
        <v>351</v>
      </c>
      <c r="B70" s="82" t="s">
        <v>285</v>
      </c>
      <c r="C70" s="82" t="s">
        <v>239</v>
      </c>
      <c r="D70" s="82" t="s">
        <v>227</v>
      </c>
      <c r="E70" s="82">
        <v>3</v>
      </c>
    </row>
    <row r="71" spans="1:5" x14ac:dyDescent="0.3">
      <c r="A71" s="82" t="s">
        <v>352</v>
      </c>
      <c r="B71" s="82" t="s">
        <v>283</v>
      </c>
      <c r="C71" s="82" t="s">
        <v>235</v>
      </c>
      <c r="D71" s="82" t="s">
        <v>227</v>
      </c>
      <c r="E71" s="82">
        <v>3</v>
      </c>
    </row>
    <row r="72" spans="1:5" x14ac:dyDescent="0.3">
      <c r="A72" s="82" t="s">
        <v>353</v>
      </c>
      <c r="B72" s="82" t="s">
        <v>290</v>
      </c>
      <c r="C72" s="82" t="s">
        <v>227</v>
      </c>
      <c r="D72" s="82" t="s">
        <v>227</v>
      </c>
      <c r="E72" s="82">
        <v>12</v>
      </c>
    </row>
    <row r="73" spans="1:5" x14ac:dyDescent="0.3">
      <c r="A73" s="82" t="s">
        <v>354</v>
      </c>
      <c r="B73" s="82" t="s">
        <v>299</v>
      </c>
      <c r="C73" s="82" t="s">
        <v>248</v>
      </c>
      <c r="D73" s="82" t="s">
        <v>227</v>
      </c>
      <c r="E73" s="82">
        <v>2</v>
      </c>
    </row>
    <row r="74" spans="1:5" x14ac:dyDescent="0.3">
      <c r="A74" s="82" t="s">
        <v>355</v>
      </c>
      <c r="B74" s="82" t="s">
        <v>288</v>
      </c>
      <c r="C74" s="82" t="s">
        <v>235</v>
      </c>
      <c r="D74" s="82" t="s">
        <v>227</v>
      </c>
      <c r="E74" s="82">
        <v>2</v>
      </c>
    </row>
    <row r="75" spans="1:5" x14ac:dyDescent="0.3">
      <c r="A75" s="82" t="s">
        <v>356</v>
      </c>
      <c r="B75" s="82" t="s">
        <v>281</v>
      </c>
      <c r="C75" s="82" t="s">
        <v>235</v>
      </c>
      <c r="D75" s="82" t="s">
        <v>227</v>
      </c>
      <c r="E75" s="82">
        <v>2</v>
      </c>
    </row>
    <row r="76" spans="1:5" x14ac:dyDescent="0.3">
      <c r="A76" s="82" t="s">
        <v>357</v>
      </c>
      <c r="B76" s="82" t="s">
        <v>288</v>
      </c>
      <c r="C76" s="82" t="s">
        <v>235</v>
      </c>
      <c r="D76" s="82" t="s">
        <v>227</v>
      </c>
      <c r="E76" s="82">
        <v>2</v>
      </c>
    </row>
    <row r="77" spans="1:5" x14ac:dyDescent="0.3">
      <c r="A77" s="82" t="s">
        <v>358</v>
      </c>
      <c r="B77" s="82" t="s">
        <v>285</v>
      </c>
      <c r="C77" s="82" t="s">
        <v>239</v>
      </c>
      <c r="D77" s="82" t="s">
        <v>227</v>
      </c>
      <c r="E77" s="82">
        <v>3</v>
      </c>
    </row>
    <row r="78" spans="1:5" x14ac:dyDescent="0.3">
      <c r="A78" s="82" t="s">
        <v>359</v>
      </c>
      <c r="B78" s="82" t="s">
        <v>285</v>
      </c>
      <c r="C78" s="82" t="s">
        <v>239</v>
      </c>
      <c r="D78" s="82" t="s">
        <v>227</v>
      </c>
      <c r="E78" s="82">
        <v>3</v>
      </c>
    </row>
    <row r="79" spans="1:5" x14ac:dyDescent="0.3">
      <c r="A79" s="82" t="s">
        <v>360</v>
      </c>
      <c r="B79" s="82" t="s">
        <v>360</v>
      </c>
      <c r="C79" s="82" t="s">
        <v>230</v>
      </c>
      <c r="D79" s="82" t="s">
        <v>227</v>
      </c>
      <c r="E79" s="82">
        <v>2</v>
      </c>
    </row>
    <row r="80" spans="1:5" x14ac:dyDescent="0.3">
      <c r="A80" s="82" t="s">
        <v>23</v>
      </c>
      <c r="B80" s="82" t="s">
        <v>21</v>
      </c>
      <c r="C80" s="82" t="s">
        <v>244</v>
      </c>
      <c r="D80" s="82" t="s">
        <v>227</v>
      </c>
      <c r="E80" s="82">
        <v>4</v>
      </c>
    </row>
    <row r="81" spans="1:5" x14ac:dyDescent="0.3">
      <c r="A81" s="82" t="s">
        <v>361</v>
      </c>
      <c r="B81" s="82" t="s">
        <v>278</v>
      </c>
      <c r="C81" s="82" t="s">
        <v>232</v>
      </c>
      <c r="D81" s="82" t="s">
        <v>227</v>
      </c>
      <c r="E81" s="82">
        <v>3</v>
      </c>
    </row>
    <row r="82" spans="1:5" x14ac:dyDescent="0.3">
      <c r="A82" s="82" t="s">
        <v>285</v>
      </c>
      <c r="B82" s="82" t="s">
        <v>285</v>
      </c>
      <c r="C82" s="82" t="s">
        <v>239</v>
      </c>
      <c r="D82" s="82" t="s">
        <v>227</v>
      </c>
      <c r="E82" s="82">
        <v>3</v>
      </c>
    </row>
    <row r="83" spans="1:5" x14ac:dyDescent="0.3">
      <c r="A83" s="82" t="s">
        <v>362</v>
      </c>
      <c r="B83" s="82" t="s">
        <v>283</v>
      </c>
      <c r="C83" s="82" t="s">
        <v>235</v>
      </c>
      <c r="D83" s="82" t="s">
        <v>227</v>
      </c>
      <c r="E83" s="82">
        <v>3</v>
      </c>
    </row>
    <row r="84" spans="1:5" x14ac:dyDescent="0.3">
      <c r="A84" s="82" t="s">
        <v>363</v>
      </c>
      <c r="B84" s="82" t="s">
        <v>288</v>
      </c>
      <c r="C84" s="82" t="s">
        <v>235</v>
      </c>
      <c r="D84" s="82" t="s">
        <v>227</v>
      </c>
      <c r="E84" s="82">
        <v>2</v>
      </c>
    </row>
    <row r="85" spans="1:5" x14ac:dyDescent="0.3">
      <c r="A85" s="82" t="s">
        <v>364</v>
      </c>
      <c r="B85" s="82" t="s">
        <v>283</v>
      </c>
      <c r="C85" s="82" t="s">
        <v>235</v>
      </c>
      <c r="D85" s="82" t="s">
        <v>227</v>
      </c>
      <c r="E85" s="82">
        <v>12</v>
      </c>
    </row>
    <row r="86" spans="1:5" x14ac:dyDescent="0.3">
      <c r="A86" s="82" t="s">
        <v>21</v>
      </c>
      <c r="B86" s="82" t="s">
        <v>21</v>
      </c>
      <c r="C86" s="82" t="s">
        <v>270</v>
      </c>
      <c r="D86" s="82" t="s">
        <v>227</v>
      </c>
      <c r="E86" s="82">
        <v>4</v>
      </c>
    </row>
    <row r="87" spans="1:5" x14ac:dyDescent="0.3">
      <c r="A87" s="82" t="s">
        <v>365</v>
      </c>
      <c r="B87" s="82" t="s">
        <v>299</v>
      </c>
      <c r="C87" s="82" t="s">
        <v>248</v>
      </c>
      <c r="D87" s="82" t="s">
        <v>227</v>
      </c>
      <c r="E87" s="82">
        <v>2</v>
      </c>
    </row>
    <row r="88" spans="1:5" x14ac:dyDescent="0.3">
      <c r="A88" s="82" t="s">
        <v>366</v>
      </c>
      <c r="B88" s="82" t="s">
        <v>21</v>
      </c>
      <c r="C88" s="82" t="s">
        <v>247</v>
      </c>
      <c r="D88" s="82" t="s">
        <v>227</v>
      </c>
      <c r="E88" s="82">
        <v>4</v>
      </c>
    </row>
    <row r="89" spans="1:5" x14ac:dyDescent="0.3">
      <c r="A89" s="82" t="s">
        <v>367</v>
      </c>
      <c r="B89" s="82" t="s">
        <v>288</v>
      </c>
      <c r="C89" s="82" t="s">
        <v>235</v>
      </c>
      <c r="D89" s="82" t="s">
        <v>227</v>
      </c>
      <c r="E89" s="82">
        <v>3</v>
      </c>
    </row>
    <row r="90" spans="1:5" x14ac:dyDescent="0.3">
      <c r="A90" s="82" t="s">
        <v>368</v>
      </c>
      <c r="B90" s="82" t="s">
        <v>299</v>
      </c>
      <c r="C90" s="82" t="s">
        <v>248</v>
      </c>
      <c r="D90" s="82" t="s">
        <v>227</v>
      </c>
      <c r="E90" s="82">
        <v>2</v>
      </c>
    </row>
    <row r="91" spans="1:5" x14ac:dyDescent="0.3">
      <c r="A91" s="82" t="s">
        <v>299</v>
      </c>
      <c r="B91" s="82" t="s">
        <v>299</v>
      </c>
      <c r="C91" s="82" t="s">
        <v>248</v>
      </c>
      <c r="D91" s="82" t="s">
        <v>227</v>
      </c>
      <c r="E91" s="82">
        <v>2</v>
      </c>
    </row>
    <row r="92" spans="1:5" x14ac:dyDescent="0.3">
      <c r="A92" s="82" t="s">
        <v>369</v>
      </c>
      <c r="B92" s="82" t="s">
        <v>285</v>
      </c>
      <c r="C92" s="82" t="s">
        <v>239</v>
      </c>
      <c r="D92" s="82" t="s">
        <v>227</v>
      </c>
      <c r="E92" s="82">
        <v>3</v>
      </c>
    </row>
    <row r="93" spans="1:5" x14ac:dyDescent="0.3">
      <c r="A93" s="82" t="s">
        <v>370</v>
      </c>
      <c r="B93" s="82" t="s">
        <v>290</v>
      </c>
      <c r="C93" s="82" t="s">
        <v>227</v>
      </c>
      <c r="D93" s="82" t="s">
        <v>227</v>
      </c>
      <c r="E93" s="82">
        <v>12</v>
      </c>
    </row>
    <row r="94" spans="1:5" x14ac:dyDescent="0.3">
      <c r="A94" s="82" t="s">
        <v>371</v>
      </c>
      <c r="B94" s="82" t="s">
        <v>21</v>
      </c>
      <c r="C94" s="82" t="s">
        <v>247</v>
      </c>
      <c r="D94" s="82" t="s">
        <v>227</v>
      </c>
      <c r="E94" s="82">
        <v>4</v>
      </c>
    </row>
    <row r="95" spans="1:5" x14ac:dyDescent="0.3">
      <c r="A95" s="82" t="s">
        <v>372</v>
      </c>
      <c r="B95" s="82" t="s">
        <v>288</v>
      </c>
      <c r="C95" s="82" t="s">
        <v>235</v>
      </c>
      <c r="D95" s="82" t="s">
        <v>227</v>
      </c>
      <c r="E95" s="82">
        <v>3</v>
      </c>
    </row>
    <row r="96" spans="1:5" x14ac:dyDescent="0.3">
      <c r="A96" s="82" t="s">
        <v>373</v>
      </c>
      <c r="B96" s="82" t="s">
        <v>278</v>
      </c>
      <c r="C96" s="82" t="s">
        <v>232</v>
      </c>
      <c r="D96" s="82" t="s">
        <v>227</v>
      </c>
      <c r="E96" s="82">
        <v>3</v>
      </c>
    </row>
    <row r="97" spans="1:5" x14ac:dyDescent="0.3">
      <c r="A97" s="82" t="s">
        <v>374</v>
      </c>
      <c r="B97" s="82" t="s">
        <v>290</v>
      </c>
      <c r="C97" s="82" t="s">
        <v>227</v>
      </c>
      <c r="D97" s="82" t="s">
        <v>227</v>
      </c>
      <c r="E97" s="82">
        <v>12</v>
      </c>
    </row>
    <row r="98" spans="1:5" x14ac:dyDescent="0.3">
      <c r="A98" s="82" t="s">
        <v>375</v>
      </c>
      <c r="B98" s="82" t="s">
        <v>290</v>
      </c>
      <c r="C98" s="82" t="s">
        <v>235</v>
      </c>
      <c r="D98" s="82" t="s">
        <v>227</v>
      </c>
      <c r="E98" s="82">
        <v>12</v>
      </c>
    </row>
    <row r="99" spans="1:5" x14ac:dyDescent="0.3">
      <c r="A99" s="82" t="s">
        <v>376</v>
      </c>
      <c r="B99" s="82" t="s">
        <v>283</v>
      </c>
      <c r="C99" s="82" t="s">
        <v>235</v>
      </c>
      <c r="D99" s="82" t="s">
        <v>227</v>
      </c>
      <c r="E99" s="82">
        <v>12</v>
      </c>
    </row>
    <row r="100" spans="1:5" x14ac:dyDescent="0.3">
      <c r="A100" s="82" t="s">
        <v>377</v>
      </c>
      <c r="B100" s="82" t="s">
        <v>299</v>
      </c>
      <c r="C100" s="82" t="s">
        <v>248</v>
      </c>
      <c r="D100" s="82" t="s">
        <v>227</v>
      </c>
      <c r="E100" s="82">
        <v>2</v>
      </c>
    </row>
    <row r="101" spans="1:5" x14ac:dyDescent="0.3">
      <c r="A101" s="82" t="s">
        <v>378</v>
      </c>
      <c r="B101" s="82" t="s">
        <v>285</v>
      </c>
      <c r="C101" s="82" t="s">
        <v>239</v>
      </c>
      <c r="D101" s="82" t="s">
        <v>227</v>
      </c>
      <c r="E101" s="82">
        <v>4</v>
      </c>
    </row>
    <row r="102" spans="1:5" x14ac:dyDescent="0.3">
      <c r="A102" s="82" t="s">
        <v>379</v>
      </c>
      <c r="B102" s="82" t="s">
        <v>281</v>
      </c>
      <c r="C102" s="82" t="s">
        <v>235</v>
      </c>
      <c r="D102" s="82" t="s">
        <v>227</v>
      </c>
      <c r="E102" s="82">
        <v>2</v>
      </c>
    </row>
    <row r="103" spans="1:5" x14ac:dyDescent="0.3">
      <c r="A103" s="82" t="s">
        <v>396</v>
      </c>
      <c r="B103" s="82" t="s">
        <v>278</v>
      </c>
      <c r="C103" s="82" t="s">
        <v>232</v>
      </c>
      <c r="D103" s="82" t="s">
        <v>227</v>
      </c>
      <c r="E103" s="15">
        <v>3</v>
      </c>
    </row>
    <row r="104" spans="1:5" x14ac:dyDescent="0.3">
      <c r="A104" s="82" t="s">
        <v>398</v>
      </c>
      <c r="B104" s="82" t="s">
        <v>283</v>
      </c>
      <c r="C104" s="82" t="s">
        <v>235</v>
      </c>
      <c r="D104" s="82" t="s">
        <v>227</v>
      </c>
      <c r="E104" s="15">
        <v>3</v>
      </c>
    </row>
    <row r="105" spans="1:5" x14ac:dyDescent="0.3">
      <c r="A105" s="82" t="s">
        <v>395</v>
      </c>
      <c r="B105" s="82" t="s">
        <v>288</v>
      </c>
      <c r="C105" s="82" t="s">
        <v>235</v>
      </c>
      <c r="D105" s="82" t="s">
        <v>227</v>
      </c>
      <c r="E105" s="15">
        <v>2</v>
      </c>
    </row>
    <row r="106" spans="1:5" x14ac:dyDescent="0.3">
      <c r="A106" s="82" t="s">
        <v>391</v>
      </c>
      <c r="B106" s="82" t="s">
        <v>281</v>
      </c>
      <c r="C106" s="82" t="s">
        <v>235</v>
      </c>
      <c r="D106" s="82" t="s">
        <v>227</v>
      </c>
      <c r="E106" s="82">
        <v>3</v>
      </c>
    </row>
    <row r="107" spans="1:5" x14ac:dyDescent="0.3">
      <c r="A107" s="82" t="s">
        <v>399</v>
      </c>
      <c r="B107" s="82" t="s">
        <v>285</v>
      </c>
      <c r="C107" s="82" t="s">
        <v>239</v>
      </c>
      <c r="D107" s="82" t="s">
        <v>227</v>
      </c>
      <c r="E107" s="82">
        <v>3</v>
      </c>
    </row>
    <row r="108" spans="1:5" x14ac:dyDescent="0.3">
      <c r="A108" s="82" t="s">
        <v>397</v>
      </c>
      <c r="B108" s="82" t="s">
        <v>21</v>
      </c>
      <c r="C108" s="82" t="s">
        <v>247</v>
      </c>
      <c r="D108" s="82" t="s">
        <v>227</v>
      </c>
      <c r="E108" s="82">
        <v>3</v>
      </c>
    </row>
    <row r="109" spans="1:5" x14ac:dyDescent="0.3">
      <c r="A109" s="82" t="s">
        <v>392</v>
      </c>
      <c r="B109" s="82" t="s">
        <v>290</v>
      </c>
      <c r="C109" s="82" t="s">
        <v>227</v>
      </c>
      <c r="D109" s="82" t="s">
        <v>227</v>
      </c>
      <c r="E109" s="82">
        <v>4</v>
      </c>
    </row>
    <row r="110" spans="1:5" x14ac:dyDescent="0.3">
      <c r="A110" s="82" t="s">
        <v>394</v>
      </c>
      <c r="B110" s="82" t="s">
        <v>299</v>
      </c>
      <c r="C110" s="82" t="s">
        <v>248</v>
      </c>
      <c r="D110" s="82" t="s">
        <v>227</v>
      </c>
      <c r="E110" s="82">
        <v>3</v>
      </c>
    </row>
    <row r="111" spans="1:5" x14ac:dyDescent="0.3">
      <c r="A111" s="11" t="s">
        <v>380</v>
      </c>
      <c r="B111" s="82" t="s">
        <v>278</v>
      </c>
      <c r="C111" s="82" t="s">
        <v>232</v>
      </c>
      <c r="D111" s="82" t="s">
        <v>227</v>
      </c>
      <c r="E111" s="15">
        <v>3</v>
      </c>
    </row>
    <row r="112" spans="1:5" x14ac:dyDescent="0.3">
      <c r="A112" s="11" t="s">
        <v>381</v>
      </c>
      <c r="B112" s="82" t="s">
        <v>283</v>
      </c>
      <c r="C112" s="82" t="s">
        <v>235</v>
      </c>
      <c r="D112" s="82" t="s">
        <v>227</v>
      </c>
      <c r="E112" s="15">
        <v>3</v>
      </c>
    </row>
    <row r="113" spans="1:5" x14ac:dyDescent="0.3">
      <c r="A113" s="11" t="s">
        <v>382</v>
      </c>
      <c r="B113" s="82" t="s">
        <v>288</v>
      </c>
      <c r="C113" s="82" t="s">
        <v>235</v>
      </c>
      <c r="D113" s="82" t="s">
        <v>227</v>
      </c>
      <c r="E113" s="15">
        <v>2</v>
      </c>
    </row>
    <row r="114" spans="1:5" x14ac:dyDescent="0.3">
      <c r="A114" s="11" t="s">
        <v>383</v>
      </c>
      <c r="B114" s="82" t="s">
        <v>281</v>
      </c>
      <c r="C114" s="82" t="s">
        <v>235</v>
      </c>
      <c r="D114" s="82" t="s">
        <v>227</v>
      </c>
      <c r="E114" s="82">
        <v>3</v>
      </c>
    </row>
    <row r="115" spans="1:5" x14ac:dyDescent="0.3">
      <c r="A115" s="11" t="s">
        <v>384</v>
      </c>
      <c r="B115" s="82" t="s">
        <v>285</v>
      </c>
      <c r="C115" s="82" t="s">
        <v>239</v>
      </c>
      <c r="D115" s="82" t="s">
        <v>227</v>
      </c>
      <c r="E115" s="82">
        <v>3</v>
      </c>
    </row>
    <row r="116" spans="1:5" x14ac:dyDescent="0.3">
      <c r="A116" s="11" t="s">
        <v>385</v>
      </c>
      <c r="B116" s="82" t="s">
        <v>21</v>
      </c>
      <c r="C116" s="82" t="s">
        <v>247</v>
      </c>
      <c r="D116" s="82" t="s">
        <v>227</v>
      </c>
      <c r="E116" s="82">
        <v>3</v>
      </c>
    </row>
    <row r="117" spans="1:5" x14ac:dyDescent="0.3">
      <c r="A117" s="11" t="s">
        <v>386</v>
      </c>
      <c r="B117" s="82" t="s">
        <v>290</v>
      </c>
      <c r="C117" s="82" t="s">
        <v>227</v>
      </c>
      <c r="D117" s="82" t="s">
        <v>227</v>
      </c>
      <c r="E117" s="82">
        <v>4</v>
      </c>
    </row>
    <row r="118" spans="1:5" x14ac:dyDescent="0.3">
      <c r="A118" s="11" t="s">
        <v>387</v>
      </c>
      <c r="B118" s="82" t="s">
        <v>299</v>
      </c>
      <c r="C118" s="82" t="s">
        <v>248</v>
      </c>
      <c r="D118" s="82" t="s">
        <v>227</v>
      </c>
      <c r="E118" s="82">
        <v>3</v>
      </c>
    </row>
  </sheetData>
  <sortState xmlns:xlrd2="http://schemas.microsoft.com/office/spreadsheetml/2017/richdata2" ref="A2:E118">
    <sortCondition ref="A2:A118"/>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F4CE-20B6-4C00-85FC-E4EC5275D50A}">
  <sheetPr codeName="Sheet19"/>
  <dimension ref="A1:R23"/>
  <sheetViews>
    <sheetView workbookViewId="0">
      <selection activeCell="B2" sqref="B2:B23"/>
    </sheetView>
  </sheetViews>
  <sheetFormatPr defaultRowHeight="14.4" x14ac:dyDescent="0.3"/>
  <cols>
    <col min="2" max="2" width="17.5546875" bestFit="1" customWidth="1"/>
    <col min="4" max="4" width="11.6640625" bestFit="1" customWidth="1"/>
    <col min="5" max="5" width="12.33203125" bestFit="1" customWidth="1"/>
    <col min="6" max="6" width="16.6640625" bestFit="1" customWidth="1"/>
    <col min="7" max="7" width="15.33203125" bestFit="1" customWidth="1"/>
    <col min="8" max="8" width="12.33203125" bestFit="1" customWidth="1"/>
    <col min="9" max="9" width="17.33203125" bestFit="1" customWidth="1"/>
    <col min="10" max="10" width="14.44140625" bestFit="1" customWidth="1"/>
    <col min="11" max="11" width="9.6640625" bestFit="1" customWidth="1"/>
    <col min="12" max="12" width="11.5546875" bestFit="1" customWidth="1"/>
  </cols>
  <sheetData>
    <row r="1" spans="1:18" x14ac:dyDescent="0.3">
      <c r="A1" s="82" t="s">
        <v>388</v>
      </c>
      <c r="B1" s="1" t="s">
        <v>22</v>
      </c>
      <c r="C1" s="1" t="s">
        <v>20</v>
      </c>
      <c r="D1" s="1" t="s">
        <v>278</v>
      </c>
      <c r="E1" s="1" t="s">
        <v>283</v>
      </c>
      <c r="F1" s="1" t="s">
        <v>288</v>
      </c>
      <c r="G1" s="1" t="s">
        <v>281</v>
      </c>
      <c r="H1" s="1" t="s">
        <v>360</v>
      </c>
      <c r="I1" s="1" t="s">
        <v>285</v>
      </c>
      <c r="J1" s="1" t="s">
        <v>21</v>
      </c>
      <c r="K1" s="1" t="s">
        <v>290</v>
      </c>
      <c r="L1" s="1" t="s">
        <v>299</v>
      </c>
      <c r="M1" s="24" t="s">
        <v>278</v>
      </c>
      <c r="N1" s="82"/>
      <c r="O1" s="82"/>
      <c r="P1" s="82" t="s">
        <v>389</v>
      </c>
      <c r="Q1" s="82"/>
      <c r="R1" s="82"/>
    </row>
    <row r="2" spans="1:18" x14ac:dyDescent="0.3">
      <c r="A2" s="82">
        <v>2</v>
      </c>
      <c r="B2" s="82" t="str">
        <f t="shared" ref="B2:B23" si="0">IF(NOT(ISBLANK(HLOOKUP($C$2,$D$1:$L$23,A2,FALSE))),HLOOKUP($C$2,$D$1:$L$23,A2,FALSE),"")</f>
        <v>Alameda</v>
      </c>
      <c r="C2" s="5" t="str">
        <f>'Policy Impact Dashboard'!B4</f>
        <v>Alameda</v>
      </c>
      <c r="D2" s="71" t="s">
        <v>278</v>
      </c>
      <c r="E2" s="71" t="s">
        <v>282</v>
      </c>
      <c r="F2" s="71" t="s">
        <v>287</v>
      </c>
      <c r="G2" s="11" t="s">
        <v>280</v>
      </c>
      <c r="H2" s="5" t="s">
        <v>360</v>
      </c>
      <c r="I2" s="71" t="s">
        <v>284</v>
      </c>
      <c r="J2" s="71" t="s">
        <v>296</v>
      </c>
      <c r="K2" s="71" t="s">
        <v>289</v>
      </c>
      <c r="L2" s="71" t="s">
        <v>298</v>
      </c>
      <c r="M2" s="23" t="s">
        <v>283</v>
      </c>
      <c r="N2" s="5"/>
      <c r="O2" s="82"/>
      <c r="P2" s="82" t="s">
        <v>389</v>
      </c>
      <c r="Q2" s="82"/>
      <c r="R2" s="82"/>
    </row>
    <row r="3" spans="1:18" x14ac:dyDescent="0.3">
      <c r="A3" s="82">
        <v>3</v>
      </c>
      <c r="B3" s="82" t="str">
        <f t="shared" si="0"/>
        <v>Albany</v>
      </c>
      <c r="C3" s="5"/>
      <c r="D3" s="71" t="s">
        <v>279</v>
      </c>
      <c r="E3" s="71" t="s">
        <v>292</v>
      </c>
      <c r="F3" s="71" t="s">
        <v>302</v>
      </c>
      <c r="G3" s="71" t="s">
        <v>295</v>
      </c>
      <c r="H3" s="5"/>
      <c r="I3" s="71" t="s">
        <v>286</v>
      </c>
      <c r="J3" s="71" t="s">
        <v>304</v>
      </c>
      <c r="K3" s="71" t="s">
        <v>307</v>
      </c>
      <c r="L3" s="71" t="s">
        <v>303</v>
      </c>
      <c r="M3" s="23" t="s">
        <v>288</v>
      </c>
      <c r="N3" s="5"/>
      <c r="O3" s="82"/>
      <c r="P3" s="82" t="s">
        <v>389</v>
      </c>
      <c r="Q3" s="82"/>
      <c r="R3" s="82"/>
    </row>
    <row r="4" spans="1:18" x14ac:dyDescent="0.3">
      <c r="A4" s="82">
        <v>4</v>
      </c>
      <c r="B4" s="82" t="str">
        <f t="shared" si="0"/>
        <v>Berkeley</v>
      </c>
      <c r="C4" s="5"/>
      <c r="D4" s="71" t="s">
        <v>291</v>
      </c>
      <c r="E4" s="71" t="s">
        <v>297</v>
      </c>
      <c r="F4" s="71" t="s">
        <v>312</v>
      </c>
      <c r="G4" s="71" t="s">
        <v>281</v>
      </c>
      <c r="H4" s="5"/>
      <c r="I4" s="71" t="s">
        <v>293</v>
      </c>
      <c r="J4" s="71" t="s">
        <v>316</v>
      </c>
      <c r="K4" s="71" t="s">
        <v>313</v>
      </c>
      <c r="L4" s="71" t="s">
        <v>319</v>
      </c>
      <c r="M4" s="23" t="s">
        <v>281</v>
      </c>
      <c r="N4" s="5"/>
      <c r="O4" s="82"/>
      <c r="P4" s="82" t="s">
        <v>389</v>
      </c>
      <c r="Q4" s="82"/>
      <c r="R4" s="82"/>
    </row>
    <row r="5" spans="1:18" x14ac:dyDescent="0.3">
      <c r="A5" s="82">
        <v>5</v>
      </c>
      <c r="B5" s="82" t="str">
        <f t="shared" si="0"/>
        <v>Dublin</v>
      </c>
      <c r="C5" s="5"/>
      <c r="D5" s="71" t="s">
        <v>308</v>
      </c>
      <c r="E5" s="71" t="s">
        <v>301</v>
      </c>
      <c r="F5" s="71" t="s">
        <v>323</v>
      </c>
      <c r="G5" s="11" t="s">
        <v>390</v>
      </c>
      <c r="H5" s="5"/>
      <c r="I5" s="71" t="s">
        <v>294</v>
      </c>
      <c r="J5" s="11" t="s">
        <v>325</v>
      </c>
      <c r="K5" s="11" t="s">
        <v>353</v>
      </c>
      <c r="L5" s="71" t="s">
        <v>344</v>
      </c>
      <c r="M5" s="23" t="s">
        <v>360</v>
      </c>
      <c r="N5" s="5"/>
      <c r="O5" s="82"/>
      <c r="P5" s="82" t="s">
        <v>389</v>
      </c>
      <c r="Q5" s="82"/>
      <c r="R5" s="11"/>
    </row>
    <row r="6" spans="1:18" x14ac:dyDescent="0.3">
      <c r="A6" s="82">
        <v>6</v>
      </c>
      <c r="B6" s="82" t="str">
        <f t="shared" si="0"/>
        <v>Emeryville</v>
      </c>
      <c r="C6" s="5"/>
      <c r="D6" s="71" t="s">
        <v>311</v>
      </c>
      <c r="E6" s="71" t="s">
        <v>306</v>
      </c>
      <c r="F6" s="11" t="s">
        <v>330</v>
      </c>
      <c r="G6" s="71" t="s">
        <v>379</v>
      </c>
      <c r="H6" s="5"/>
      <c r="I6" s="71" t="s">
        <v>300</v>
      </c>
      <c r="J6" s="11" t="s">
        <v>326</v>
      </c>
      <c r="K6" s="11" t="s">
        <v>370</v>
      </c>
      <c r="L6" s="71" t="s">
        <v>354</v>
      </c>
      <c r="M6" s="23" t="s">
        <v>285</v>
      </c>
      <c r="N6" s="5"/>
      <c r="O6" s="82"/>
      <c r="P6" s="82" t="s">
        <v>389</v>
      </c>
      <c r="Q6" s="82"/>
      <c r="R6" s="11"/>
    </row>
    <row r="7" spans="1:18" x14ac:dyDescent="0.3">
      <c r="A7" s="82">
        <v>7</v>
      </c>
      <c r="B7" s="82" t="str">
        <f t="shared" si="0"/>
        <v>Fremont</v>
      </c>
      <c r="C7" s="5"/>
      <c r="D7" s="71" t="s">
        <v>315</v>
      </c>
      <c r="E7" s="71" t="s">
        <v>310</v>
      </c>
      <c r="F7" s="71" t="s">
        <v>338</v>
      </c>
      <c r="G7" s="11" t="s">
        <v>391</v>
      </c>
      <c r="H7" s="5"/>
      <c r="I7" s="11" t="s">
        <v>305</v>
      </c>
      <c r="J7" s="11" t="s">
        <v>327</v>
      </c>
      <c r="K7" s="71" t="s">
        <v>374</v>
      </c>
      <c r="L7" s="71" t="s">
        <v>365</v>
      </c>
      <c r="M7" s="23" t="s">
        <v>21</v>
      </c>
      <c r="N7" s="5"/>
      <c r="O7" s="82"/>
      <c r="P7" s="82" t="s">
        <v>389</v>
      </c>
      <c r="Q7" s="82"/>
      <c r="R7" s="11"/>
    </row>
    <row r="8" spans="1:18" x14ac:dyDescent="0.3">
      <c r="A8" s="82">
        <v>8</v>
      </c>
      <c r="B8" s="82" t="str">
        <f t="shared" si="0"/>
        <v>Hayward</v>
      </c>
      <c r="C8" s="5"/>
      <c r="D8" s="71" t="s">
        <v>318</v>
      </c>
      <c r="E8" s="71" t="s">
        <v>320</v>
      </c>
      <c r="F8" s="71" t="s">
        <v>355</v>
      </c>
      <c r="G8" s="11" t="s">
        <v>383</v>
      </c>
      <c r="H8" s="5"/>
      <c r="I8" s="71" t="s">
        <v>309</v>
      </c>
      <c r="J8" s="71" t="s">
        <v>332</v>
      </c>
      <c r="K8" s="71" t="s">
        <v>375</v>
      </c>
      <c r="L8" s="71" t="s">
        <v>368</v>
      </c>
      <c r="M8" s="23" t="s">
        <v>290</v>
      </c>
      <c r="N8" s="5"/>
      <c r="O8" s="82"/>
      <c r="P8" s="82" t="s">
        <v>389</v>
      </c>
      <c r="Q8" s="82"/>
      <c r="R8" s="11"/>
    </row>
    <row r="9" spans="1:18" x14ac:dyDescent="0.3">
      <c r="A9" s="82">
        <v>9</v>
      </c>
      <c r="B9" s="82" t="str">
        <f t="shared" si="0"/>
        <v>Livermore</v>
      </c>
      <c r="C9" s="5"/>
      <c r="D9" s="71" t="s">
        <v>324</v>
      </c>
      <c r="E9" s="71" t="s">
        <v>322</v>
      </c>
      <c r="F9" s="11" t="s">
        <v>357</v>
      </c>
      <c r="G9" s="75"/>
      <c r="H9" s="5"/>
      <c r="I9" s="71" t="s">
        <v>314</v>
      </c>
      <c r="J9" s="11" t="s">
        <v>333</v>
      </c>
      <c r="K9" s="11" t="s">
        <v>392</v>
      </c>
      <c r="L9" s="71" t="s">
        <v>299</v>
      </c>
      <c r="M9" s="23" t="s">
        <v>299</v>
      </c>
      <c r="N9" s="5"/>
      <c r="O9" s="82"/>
      <c r="P9" s="82" t="s">
        <v>389</v>
      </c>
      <c r="Q9" s="82"/>
      <c r="R9" s="11"/>
    </row>
    <row r="10" spans="1:18" x14ac:dyDescent="0.3">
      <c r="A10" s="82">
        <v>10</v>
      </c>
      <c r="B10" s="82" t="str">
        <f t="shared" si="0"/>
        <v>Newark</v>
      </c>
      <c r="C10" s="5"/>
      <c r="D10" s="71" t="s">
        <v>337</v>
      </c>
      <c r="E10" s="71" t="s">
        <v>328</v>
      </c>
      <c r="F10" s="71" t="s">
        <v>363</v>
      </c>
      <c r="G10" s="75"/>
      <c r="H10" s="5"/>
      <c r="I10" s="71" t="s">
        <v>317</v>
      </c>
      <c r="J10" s="11" t="s">
        <v>335</v>
      </c>
      <c r="K10" s="11" t="s">
        <v>386</v>
      </c>
      <c r="L10" s="71" t="s">
        <v>377</v>
      </c>
      <c r="M10" s="5"/>
      <c r="N10" s="5"/>
      <c r="O10" s="82"/>
      <c r="P10" s="82" t="s">
        <v>393</v>
      </c>
      <c r="Q10" s="82"/>
      <c r="R10" s="11"/>
    </row>
    <row r="11" spans="1:18" x14ac:dyDescent="0.3">
      <c r="A11" s="82">
        <v>11</v>
      </c>
      <c r="B11" s="82" t="str">
        <f t="shared" si="0"/>
        <v>Oakland</v>
      </c>
      <c r="C11" s="5"/>
      <c r="D11" s="71" t="s">
        <v>339</v>
      </c>
      <c r="E11" s="71" t="s">
        <v>334</v>
      </c>
      <c r="F11" s="71" t="s">
        <v>367</v>
      </c>
      <c r="G11" s="76"/>
      <c r="H11" s="5"/>
      <c r="I11" s="71" t="s">
        <v>321</v>
      </c>
      <c r="J11" s="11" t="s">
        <v>336</v>
      </c>
      <c r="K11" s="76"/>
      <c r="L11" s="11" t="s">
        <v>394</v>
      </c>
      <c r="M11" s="5"/>
      <c r="N11" s="5"/>
      <c r="O11" s="82"/>
      <c r="P11" s="82" t="s">
        <v>393</v>
      </c>
      <c r="Q11" s="82"/>
      <c r="R11" s="11"/>
    </row>
    <row r="12" spans="1:18" x14ac:dyDescent="0.3">
      <c r="A12" s="82">
        <v>12</v>
      </c>
      <c r="B12" s="82" t="str">
        <f t="shared" si="0"/>
        <v>Piedmont</v>
      </c>
      <c r="C12" s="5"/>
      <c r="D12" s="71" t="s">
        <v>345</v>
      </c>
      <c r="E12" s="71" t="s">
        <v>340</v>
      </c>
      <c r="F12" s="71" t="s">
        <v>372</v>
      </c>
      <c r="G12" s="76"/>
      <c r="H12" s="5"/>
      <c r="I12" s="71" t="s">
        <v>329</v>
      </c>
      <c r="J12" s="11" t="s">
        <v>343</v>
      </c>
      <c r="K12" s="76"/>
      <c r="L12" s="11" t="s">
        <v>387</v>
      </c>
      <c r="M12" s="5"/>
      <c r="N12" s="5"/>
      <c r="O12" s="82"/>
      <c r="P12" s="82" t="s">
        <v>393</v>
      </c>
      <c r="Q12" s="82"/>
      <c r="R12" s="11"/>
    </row>
    <row r="13" spans="1:18" x14ac:dyDescent="0.3">
      <c r="A13" s="82">
        <v>13</v>
      </c>
      <c r="B13" s="82" t="str">
        <f t="shared" si="0"/>
        <v>Pleasanton</v>
      </c>
      <c r="C13" s="5"/>
      <c r="D13" s="71" t="s">
        <v>349</v>
      </c>
      <c r="E13" s="71" t="s">
        <v>341</v>
      </c>
      <c r="F13" s="11" t="s">
        <v>395</v>
      </c>
      <c r="G13" s="5"/>
      <c r="H13" s="5"/>
      <c r="I13" s="71" t="s">
        <v>331</v>
      </c>
      <c r="J13" s="71" t="s">
        <v>23</v>
      </c>
      <c r="K13" s="5"/>
      <c r="L13" s="75"/>
      <c r="M13" s="5"/>
      <c r="N13" s="5"/>
      <c r="O13" s="82"/>
      <c r="P13" s="82" t="s">
        <v>393</v>
      </c>
      <c r="Q13" s="82"/>
      <c r="R13" s="82"/>
    </row>
    <row r="14" spans="1:18" x14ac:dyDescent="0.3">
      <c r="A14" s="82">
        <v>14</v>
      </c>
      <c r="B14" s="82" t="str">
        <f t="shared" si="0"/>
        <v>San Leandro</v>
      </c>
      <c r="C14" s="5"/>
      <c r="D14" s="11" t="s">
        <v>361</v>
      </c>
      <c r="E14" s="71" t="s">
        <v>346</v>
      </c>
      <c r="F14" s="11" t="s">
        <v>382</v>
      </c>
      <c r="G14" s="5"/>
      <c r="H14" s="5"/>
      <c r="I14" s="71" t="s">
        <v>342</v>
      </c>
      <c r="J14" s="11" t="s">
        <v>21</v>
      </c>
      <c r="K14" s="5"/>
      <c r="L14" s="75"/>
      <c r="M14" s="5"/>
      <c r="N14" s="5"/>
      <c r="O14" s="82"/>
      <c r="P14" s="82" t="s">
        <v>393</v>
      </c>
      <c r="Q14" s="82"/>
      <c r="R14" s="82"/>
    </row>
    <row r="15" spans="1:18" x14ac:dyDescent="0.3">
      <c r="A15" s="82">
        <v>15</v>
      </c>
      <c r="B15" s="82" t="str">
        <f t="shared" si="0"/>
        <v>Union City</v>
      </c>
      <c r="C15" s="5"/>
      <c r="D15" s="71" t="s">
        <v>373</v>
      </c>
      <c r="E15" s="71" t="s">
        <v>347</v>
      </c>
      <c r="F15" s="75"/>
      <c r="G15" s="5"/>
      <c r="H15" s="5"/>
      <c r="I15" s="71" t="s">
        <v>350</v>
      </c>
      <c r="J15" s="71" t="s">
        <v>366</v>
      </c>
      <c r="K15" s="5"/>
      <c r="L15" s="75"/>
      <c r="M15" s="5"/>
      <c r="N15" s="5"/>
      <c r="O15" s="82"/>
      <c r="P15" s="82" t="s">
        <v>393</v>
      </c>
      <c r="Q15" s="82"/>
      <c r="R15" s="82"/>
    </row>
    <row r="16" spans="1:18" x14ac:dyDescent="0.3">
      <c r="A16" s="82">
        <v>16</v>
      </c>
      <c r="B16" s="82" t="str">
        <f t="shared" si="0"/>
        <v>z-All Alameda</v>
      </c>
      <c r="C16" s="5"/>
      <c r="D16" s="11" t="s">
        <v>396</v>
      </c>
      <c r="E16" s="11" t="s">
        <v>348</v>
      </c>
      <c r="F16" s="75"/>
      <c r="G16" s="5"/>
      <c r="H16" s="5"/>
      <c r="I16" s="71" t="s">
        <v>351</v>
      </c>
      <c r="J16" s="71" t="s">
        <v>371</v>
      </c>
      <c r="K16" s="5"/>
      <c r="L16" s="75"/>
      <c r="M16" s="5"/>
      <c r="N16" s="5"/>
      <c r="O16" s="82"/>
      <c r="P16" s="82" t="s">
        <v>393</v>
      </c>
      <c r="Q16" s="82"/>
      <c r="R16" s="82"/>
    </row>
    <row r="17" spans="1:16" x14ac:dyDescent="0.3">
      <c r="A17" s="82">
        <v>17</v>
      </c>
      <c r="B17" s="82" t="str">
        <f t="shared" si="0"/>
        <v>z-Ininc. Alameda</v>
      </c>
      <c r="C17" s="5"/>
      <c r="D17" s="11" t="s">
        <v>380</v>
      </c>
      <c r="E17" s="71" t="s">
        <v>352</v>
      </c>
      <c r="F17" s="75"/>
      <c r="G17" s="5"/>
      <c r="H17" s="5"/>
      <c r="I17" s="11" t="s">
        <v>358</v>
      </c>
      <c r="J17" s="11" t="s">
        <v>397</v>
      </c>
      <c r="K17" s="5"/>
      <c r="L17" s="75"/>
      <c r="M17" s="5"/>
      <c r="N17" s="5"/>
      <c r="O17" s="82"/>
      <c r="P17" s="82" t="s">
        <v>393</v>
      </c>
    </row>
    <row r="18" spans="1:16" x14ac:dyDescent="0.3">
      <c r="A18" s="82">
        <v>18</v>
      </c>
      <c r="B18" s="82" t="str">
        <f t="shared" si="0"/>
        <v/>
      </c>
      <c r="C18" s="5"/>
      <c r="D18" s="75"/>
      <c r="E18" s="11" t="s">
        <v>362</v>
      </c>
      <c r="F18" s="75"/>
      <c r="G18" s="5"/>
      <c r="H18" s="5"/>
      <c r="I18" s="71" t="s">
        <v>359</v>
      </c>
      <c r="J18" s="11" t="s">
        <v>385</v>
      </c>
      <c r="K18" s="5"/>
      <c r="L18" s="75"/>
      <c r="M18" s="5"/>
      <c r="N18" s="5"/>
      <c r="O18" s="82"/>
      <c r="P18" s="82" t="s">
        <v>393</v>
      </c>
    </row>
    <row r="19" spans="1:16" x14ac:dyDescent="0.3">
      <c r="A19" s="82">
        <v>19</v>
      </c>
      <c r="B19" s="82" t="str">
        <f t="shared" si="0"/>
        <v/>
      </c>
      <c r="C19" s="5"/>
      <c r="D19" s="76"/>
      <c r="E19" s="11" t="s">
        <v>364</v>
      </c>
      <c r="F19" s="75"/>
      <c r="G19" s="5"/>
      <c r="H19" s="5"/>
      <c r="I19" s="11" t="s">
        <v>285</v>
      </c>
      <c r="J19" s="75"/>
      <c r="K19" s="5"/>
      <c r="L19" s="75"/>
      <c r="M19" s="5"/>
      <c r="N19" s="5"/>
      <c r="O19" s="82"/>
      <c r="P19" s="82" t="s">
        <v>393</v>
      </c>
    </row>
    <row r="20" spans="1:16" x14ac:dyDescent="0.3">
      <c r="A20" s="82">
        <v>20</v>
      </c>
      <c r="B20" s="82" t="str">
        <f t="shared" si="0"/>
        <v/>
      </c>
      <c r="C20" s="5"/>
      <c r="D20" s="76"/>
      <c r="E20" s="71" t="s">
        <v>376</v>
      </c>
      <c r="F20" s="75"/>
      <c r="G20" s="5"/>
      <c r="H20" s="5"/>
      <c r="I20" s="11" t="s">
        <v>369</v>
      </c>
      <c r="J20" s="76"/>
      <c r="K20" s="5"/>
      <c r="L20" s="75"/>
      <c r="M20" s="5"/>
      <c r="N20" s="5"/>
      <c r="O20" s="82"/>
      <c r="P20" s="82" t="s">
        <v>393</v>
      </c>
    </row>
    <row r="21" spans="1:16" x14ac:dyDescent="0.3">
      <c r="A21" s="82">
        <v>21</v>
      </c>
      <c r="B21" s="82" t="str">
        <f t="shared" si="0"/>
        <v/>
      </c>
      <c r="C21" s="5"/>
      <c r="D21" s="5"/>
      <c r="E21" s="11" t="s">
        <v>398</v>
      </c>
      <c r="F21" s="75"/>
      <c r="G21" s="5"/>
      <c r="H21" s="5"/>
      <c r="I21" s="71" t="s">
        <v>378</v>
      </c>
      <c r="J21" s="76"/>
      <c r="K21" s="5"/>
      <c r="L21" s="75"/>
      <c r="M21" s="5"/>
      <c r="N21" s="5"/>
      <c r="O21" s="82"/>
      <c r="P21" s="82"/>
    </row>
    <row r="22" spans="1:16" x14ac:dyDescent="0.3">
      <c r="A22" s="82">
        <v>22</v>
      </c>
      <c r="B22" s="82" t="str">
        <f t="shared" si="0"/>
        <v/>
      </c>
      <c r="C22" s="5"/>
      <c r="D22" s="5"/>
      <c r="E22" s="11" t="s">
        <v>381</v>
      </c>
      <c r="F22" s="75"/>
      <c r="G22" s="5"/>
      <c r="H22" s="5"/>
      <c r="I22" s="11" t="s">
        <v>399</v>
      </c>
      <c r="J22" s="5"/>
      <c r="K22" s="5"/>
      <c r="L22" s="75"/>
      <c r="M22" s="5"/>
      <c r="N22" s="5"/>
      <c r="O22" s="82"/>
      <c r="P22" s="82"/>
    </row>
    <row r="23" spans="1:16" x14ac:dyDescent="0.3">
      <c r="A23" s="82">
        <v>23</v>
      </c>
      <c r="B23" s="82" t="str">
        <f t="shared" si="0"/>
        <v/>
      </c>
      <c r="C23" s="5"/>
      <c r="D23" s="5"/>
      <c r="E23" s="75"/>
      <c r="F23" s="75"/>
      <c r="G23" s="5"/>
      <c r="H23" s="5"/>
      <c r="I23" s="11" t="s">
        <v>384</v>
      </c>
      <c r="J23" s="5"/>
      <c r="K23" s="5"/>
      <c r="L23" s="75"/>
      <c r="M23" s="5"/>
      <c r="N23" s="5"/>
      <c r="O23" s="82"/>
      <c r="P23" s="82"/>
    </row>
  </sheetData>
  <dataValidations count="1">
    <dataValidation type="list" allowBlank="1" showInputMessage="1" showErrorMessage="1" sqref="C2" xr:uid="{F110A20E-DE6F-4F45-B1C2-4B9FE240C18A}">
      <formula1>$M$1:$M$9</formula1>
    </dataValidation>
  </dataValidation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C4AAB-A8FE-4555-91A9-D93C1F33B55D}">
  <sheetPr codeName="Sheet20"/>
  <dimension ref="A1:H39"/>
  <sheetViews>
    <sheetView workbookViewId="0">
      <selection activeCell="A19" sqref="A19"/>
    </sheetView>
  </sheetViews>
  <sheetFormatPr defaultRowHeight="14.4" x14ac:dyDescent="0.3"/>
  <cols>
    <col min="1" max="1" width="25.6640625" customWidth="1"/>
  </cols>
  <sheetData>
    <row r="1" spans="1:8" ht="42" x14ac:dyDescent="0.3">
      <c r="A1" s="82"/>
      <c r="B1" s="82" t="s">
        <v>400</v>
      </c>
      <c r="C1" s="82"/>
      <c r="D1" s="82"/>
      <c r="E1" s="29" t="s">
        <v>401</v>
      </c>
      <c r="F1" s="29" t="s">
        <v>402</v>
      </c>
      <c r="G1" s="29" t="s">
        <v>403</v>
      </c>
      <c r="H1" s="29" t="s">
        <v>404</v>
      </c>
    </row>
    <row r="2" spans="1:8" x14ac:dyDescent="0.3">
      <c r="A2" s="30" t="s">
        <v>405</v>
      </c>
      <c r="B2" s="82" t="s">
        <v>406</v>
      </c>
      <c r="C2" s="82">
        <v>2019</v>
      </c>
      <c r="D2" s="82" t="s">
        <v>407</v>
      </c>
      <c r="E2" s="145">
        <f>SUMPRODUCT(F2:H2,F$8:H$8)/SUM(F$8:H$8)</f>
        <v>7.9133329261617688E-2</v>
      </c>
      <c r="F2" s="31">
        <v>1.8078620979608998E-2</v>
      </c>
      <c r="G2" s="31">
        <v>0.38583333333333331</v>
      </c>
      <c r="H2" s="31">
        <v>0.17352941176470588</v>
      </c>
    </row>
    <row r="3" spans="1:8" x14ac:dyDescent="0.3">
      <c r="A3" s="82" t="s">
        <v>408</v>
      </c>
      <c r="B3" s="82" t="s">
        <v>406</v>
      </c>
      <c r="C3" s="82">
        <v>2019</v>
      </c>
      <c r="D3" s="82" t="s">
        <v>407</v>
      </c>
      <c r="E3" s="145">
        <f>SUMPRODUCT(F3:H3,F$8:H$8)/SUM(F$8:H$8)</f>
        <v>0.80492781322627749</v>
      </c>
      <c r="F3" s="31">
        <v>0.84937986125709486</v>
      </c>
      <c r="G3" s="31">
        <v>0.84083333333333343</v>
      </c>
      <c r="H3" s="31">
        <v>0.60252100840336131</v>
      </c>
    </row>
    <row r="4" spans="1:8" x14ac:dyDescent="0.3">
      <c r="A4" s="82" t="s">
        <v>409</v>
      </c>
      <c r="B4" s="82" t="s">
        <v>406</v>
      </c>
      <c r="C4" s="82">
        <v>2019</v>
      </c>
      <c r="D4" s="82" t="s">
        <v>407</v>
      </c>
      <c r="E4" s="145">
        <f>SUMPRODUCT(F4:H4,F$8:H$8)/SUM(F$8:H$8)</f>
        <v>0.43658356546255228</v>
      </c>
      <c r="F4" s="32">
        <v>0.49274752995585458</v>
      </c>
      <c r="G4" s="32">
        <v>0.43666666666666665</v>
      </c>
      <c r="H4" s="32">
        <v>0.2042016806722689</v>
      </c>
    </row>
    <row r="5" spans="1:8" x14ac:dyDescent="0.3">
      <c r="A5" s="82" t="s">
        <v>410</v>
      </c>
      <c r="B5" s="82" t="s">
        <v>406</v>
      </c>
      <c r="C5" s="82">
        <v>2019</v>
      </c>
      <c r="D5" s="82" t="s">
        <v>407</v>
      </c>
      <c r="E5" s="145">
        <f>SUMPRODUCT(F5:H5,F$8:H$8)/SUM(F$8:H$8)</f>
        <v>6.0353371620397271E-2</v>
      </c>
      <c r="F5" s="32">
        <v>6.0121925583350853E-2</v>
      </c>
      <c r="G5" s="32"/>
      <c r="H5" s="32">
        <v>9.2436974789915971E-2</v>
      </c>
    </row>
    <row r="6" spans="1:8" x14ac:dyDescent="0.3">
      <c r="A6" s="82" t="s">
        <v>411</v>
      </c>
      <c r="B6" s="82" t="s">
        <v>406</v>
      </c>
      <c r="C6" s="82">
        <v>2019</v>
      </c>
      <c r="D6" s="82" t="s">
        <v>407</v>
      </c>
      <c r="E6" s="145">
        <f>SUMPRODUCT(F6:H6,F$8:H$8)/SUM(F$8:H$8)</f>
        <v>0.87518636130112359</v>
      </c>
      <c r="F6" s="32">
        <v>0.89951650199705691</v>
      </c>
      <c r="G6" s="32">
        <v>0.82499999999999996</v>
      </c>
      <c r="H6" s="32">
        <v>0.80042016806722693</v>
      </c>
    </row>
    <row r="7" spans="1:8" x14ac:dyDescent="0.3">
      <c r="A7" s="82" t="s">
        <v>74</v>
      </c>
      <c r="B7" s="82" t="s">
        <v>406</v>
      </c>
      <c r="C7" s="82">
        <v>2019</v>
      </c>
      <c r="D7" s="82" t="s">
        <v>412</v>
      </c>
      <c r="E7" s="146">
        <f>SUM(F7:H7)</f>
        <v>854.9</v>
      </c>
      <c r="F7" s="33">
        <v>741.8</v>
      </c>
      <c r="G7" s="33">
        <v>68.7</v>
      </c>
      <c r="H7" s="33">
        <v>44.4</v>
      </c>
    </row>
    <row r="8" spans="1:8" x14ac:dyDescent="0.3">
      <c r="A8" s="82" t="s">
        <v>413</v>
      </c>
      <c r="B8" s="82" t="s">
        <v>406</v>
      </c>
      <c r="C8" s="82">
        <v>2019</v>
      </c>
      <c r="D8" s="82" t="s">
        <v>414</v>
      </c>
      <c r="E8" s="146">
        <f>SUM(F8:H8)</f>
        <v>1239.6000000000001</v>
      </c>
      <c r="F8" s="33">
        <v>907.2</v>
      </c>
      <c r="G8" s="33">
        <v>113.1</v>
      </c>
      <c r="H8" s="33">
        <v>219.3</v>
      </c>
    </row>
    <row r="9" spans="1:8" x14ac:dyDescent="0.3">
      <c r="A9" s="82" t="s">
        <v>415</v>
      </c>
      <c r="B9" s="82" t="s">
        <v>406</v>
      </c>
      <c r="C9" s="82">
        <v>2019</v>
      </c>
      <c r="D9" s="82"/>
      <c r="E9" s="147">
        <f>E7/E8</f>
        <v>0.6896579541787673</v>
      </c>
      <c r="F9" s="21">
        <f>F7/F8</f>
        <v>0.81768077601410927</v>
      </c>
      <c r="G9" s="21">
        <f>G7/G8</f>
        <v>0.60742705570291777</v>
      </c>
      <c r="H9" s="21">
        <f>H7/H8</f>
        <v>0.20246238030095756</v>
      </c>
    </row>
    <row r="10" spans="1:8" x14ac:dyDescent="0.3">
      <c r="A10" s="82" t="s">
        <v>416</v>
      </c>
      <c r="B10" s="82"/>
      <c r="C10" s="82">
        <v>2019</v>
      </c>
      <c r="D10" s="82"/>
      <c r="E10" s="147">
        <f>1-E9</f>
        <v>0.3103420458212327</v>
      </c>
      <c r="F10" s="21">
        <f>1-F9</f>
        <v>0.18231922398589073</v>
      </c>
      <c r="G10" s="21">
        <f>1-G9</f>
        <v>0.39257294429708223</v>
      </c>
      <c r="H10" s="21">
        <f>1-H9</f>
        <v>0.79753761969904247</v>
      </c>
    </row>
    <row r="11" spans="1:8" x14ac:dyDescent="0.3">
      <c r="A11" s="13" t="s">
        <v>417</v>
      </c>
      <c r="B11" s="82" t="s">
        <v>406</v>
      </c>
      <c r="C11" s="82">
        <v>2019</v>
      </c>
      <c r="D11" s="82" t="s">
        <v>412</v>
      </c>
      <c r="E11" s="145">
        <f>SUMPRODUCT(F11:H11,F$8:H$8)/SUM(F$8:H$8)</f>
        <v>9.5140367860600192E-2</v>
      </c>
      <c r="F11" s="32">
        <v>0.13</v>
      </c>
      <c r="G11" s="82"/>
      <c r="H11" s="82"/>
    </row>
    <row r="12" spans="1:8" ht="28.8" x14ac:dyDescent="0.3">
      <c r="A12" s="13" t="s">
        <v>418</v>
      </c>
      <c r="B12" s="82" t="s">
        <v>406</v>
      </c>
      <c r="C12" s="82">
        <v>2019</v>
      </c>
      <c r="D12" s="82" t="s">
        <v>412</v>
      </c>
      <c r="E12" s="145">
        <f>SUMPRODUCT(F12:H12,F$8:H$8)/SUM(F$8:H$8)</f>
        <v>0.44572723985510204</v>
      </c>
      <c r="F12" s="32">
        <v>0.4649501213265031</v>
      </c>
      <c r="G12" s="32">
        <v>0.42212518195050946</v>
      </c>
      <c r="H12" s="32">
        <v>0.3783783783783784</v>
      </c>
    </row>
    <row r="14" spans="1:8" x14ac:dyDescent="0.3">
      <c r="A14" s="30" t="s">
        <v>405</v>
      </c>
      <c r="B14" s="82" t="s">
        <v>419</v>
      </c>
      <c r="C14" s="82">
        <v>2017</v>
      </c>
      <c r="D14" s="82" t="s">
        <v>407</v>
      </c>
      <c r="E14" s="145">
        <f>SUMPRODUCT(F14:H14,F$20:H$20)/SUM(F$20:H$20)</f>
        <v>7.6421497292650534E-2</v>
      </c>
      <c r="F14" s="32"/>
      <c r="G14" s="32">
        <v>0.51050420168067223</v>
      </c>
      <c r="H14" s="32">
        <v>0.22296173044925124</v>
      </c>
    </row>
    <row r="15" spans="1:8" x14ac:dyDescent="0.3">
      <c r="A15" s="82" t="s">
        <v>408</v>
      </c>
      <c r="B15" s="82" t="s">
        <v>419</v>
      </c>
      <c r="C15" s="82">
        <v>2017</v>
      </c>
      <c r="D15" s="82" t="s">
        <v>407</v>
      </c>
      <c r="E15" s="145">
        <f>SUMPRODUCT(F15:H15,F$20:H$20)/SUM(F$20:H$20)</f>
        <v>0.81258815006541651</v>
      </c>
      <c r="F15" s="32">
        <v>0.84600862998921245</v>
      </c>
      <c r="G15" s="32">
        <v>0.85084033613445376</v>
      </c>
      <c r="H15" s="32">
        <v>0.56405990016638929</v>
      </c>
    </row>
    <row r="16" spans="1:8" x14ac:dyDescent="0.3">
      <c r="A16" s="82" t="s">
        <v>409</v>
      </c>
      <c r="B16" s="82" t="s">
        <v>419</v>
      </c>
      <c r="C16" s="82">
        <v>2017</v>
      </c>
      <c r="D16" s="82" t="s">
        <v>407</v>
      </c>
      <c r="E16" s="145">
        <f>SUMPRODUCT(F16:H16,F$20:H$20)/SUM(F$20:H$20)</f>
        <v>0.53217367633429136</v>
      </c>
      <c r="F16" s="32">
        <v>0.55366774541531827</v>
      </c>
      <c r="G16" s="32">
        <v>0.63655462184873945</v>
      </c>
      <c r="H16" s="32">
        <v>0.30782029950083195</v>
      </c>
    </row>
    <row r="17" spans="1:8" x14ac:dyDescent="0.3">
      <c r="A17" s="82" t="s">
        <v>410</v>
      </c>
      <c r="B17" s="82" t="s">
        <v>419</v>
      </c>
      <c r="C17" s="82">
        <v>2017</v>
      </c>
      <c r="D17" s="82" t="s">
        <v>407</v>
      </c>
      <c r="E17" s="145">
        <f>SUMPRODUCT(F17:H17,F$20:H$20)/SUM(F$20:H$20)</f>
        <v>0.15889239483650161</v>
      </c>
      <c r="F17" s="32">
        <v>0.14347357065803668</v>
      </c>
      <c r="G17" s="32">
        <v>0.10504201680672269</v>
      </c>
      <c r="H17" s="32">
        <v>0.30282861896838603</v>
      </c>
    </row>
    <row r="18" spans="1:8" x14ac:dyDescent="0.3">
      <c r="A18" s="82" t="s">
        <v>411</v>
      </c>
      <c r="B18" s="82" t="s">
        <v>419</v>
      </c>
      <c r="C18" s="82">
        <v>2017</v>
      </c>
      <c r="D18" s="82" t="s">
        <v>407</v>
      </c>
      <c r="E18" s="145">
        <f>SUMPRODUCT(F18:H18,F$20:H$20)/SUM(F$20:H$20)</f>
        <v>0.82364087333033464</v>
      </c>
      <c r="F18" s="32">
        <v>0.86299892125134836</v>
      </c>
      <c r="G18" s="32">
        <v>0.72899159663865554</v>
      </c>
      <c r="H18" s="32">
        <v>0.64392678868552411</v>
      </c>
    </row>
    <row r="19" spans="1:8" x14ac:dyDescent="0.3">
      <c r="A19" s="82" t="s">
        <v>74</v>
      </c>
      <c r="B19" s="82" t="s">
        <v>419</v>
      </c>
      <c r="C19" s="82">
        <v>2017</v>
      </c>
      <c r="D19" s="82" t="s">
        <v>412</v>
      </c>
      <c r="E19" s="146">
        <f>SUM(F19:H19)</f>
        <v>325.90000000000003</v>
      </c>
      <c r="F19" s="33">
        <v>284.3</v>
      </c>
      <c r="G19" s="33">
        <v>30.8</v>
      </c>
      <c r="H19" s="33">
        <v>10.8</v>
      </c>
    </row>
    <row r="20" spans="1:8" x14ac:dyDescent="0.3">
      <c r="A20" s="82" t="s">
        <v>413</v>
      </c>
      <c r="B20" s="82" t="s">
        <v>419</v>
      </c>
      <c r="C20" s="82">
        <v>2017</v>
      </c>
      <c r="D20" s="82" t="s">
        <v>414</v>
      </c>
      <c r="E20" s="146">
        <f>SUM(F20:H20)</f>
        <v>460.9</v>
      </c>
      <c r="F20" s="33">
        <v>360.7</v>
      </c>
      <c r="G20" s="33">
        <v>44.8</v>
      </c>
      <c r="H20" s="33">
        <v>55.4</v>
      </c>
    </row>
    <row r="21" spans="1:8" x14ac:dyDescent="0.3">
      <c r="A21" s="82" t="s">
        <v>415</v>
      </c>
      <c r="B21" s="82" t="s">
        <v>419</v>
      </c>
      <c r="C21" s="82">
        <v>2017</v>
      </c>
      <c r="D21" s="82"/>
      <c r="E21" s="147">
        <f>E19/E20</f>
        <v>0.70709481449338263</v>
      </c>
      <c r="F21" s="21">
        <f>F19/F20</f>
        <v>0.78818963127252573</v>
      </c>
      <c r="G21" s="21">
        <f>G19/G20</f>
        <v>0.68750000000000011</v>
      </c>
      <c r="H21" s="21">
        <f>H19/H20</f>
        <v>0.19494584837545129</v>
      </c>
    </row>
    <row r="22" spans="1:8" x14ac:dyDescent="0.3">
      <c r="A22" s="82" t="s">
        <v>416</v>
      </c>
      <c r="B22" s="82" t="s">
        <v>419</v>
      </c>
      <c r="C22" s="82">
        <v>2017</v>
      </c>
      <c r="D22" s="82"/>
      <c r="E22" s="147">
        <f>1-E21</f>
        <v>0.29290518550661737</v>
      </c>
      <c r="F22" s="21">
        <f>1-F21</f>
        <v>0.21181036872747427</v>
      </c>
      <c r="G22" s="21">
        <f>1-G21</f>
        <v>0.31249999999999989</v>
      </c>
      <c r="H22" s="21">
        <f>1-H21</f>
        <v>0.80505415162454874</v>
      </c>
    </row>
    <row r="23" spans="1:8" x14ac:dyDescent="0.3">
      <c r="A23" s="13" t="s">
        <v>417</v>
      </c>
      <c r="B23" s="82" t="s">
        <v>419</v>
      </c>
      <c r="C23" s="82">
        <v>2017</v>
      </c>
      <c r="D23" s="82" t="s">
        <v>412</v>
      </c>
      <c r="E23" s="145">
        <f>SUMPRODUCT(F23:H23,F$20:H$20)/SUM(F$20:H$20)</f>
        <v>0.13350708484760468</v>
      </c>
      <c r="F23" s="32">
        <v>0.17059444249032713</v>
      </c>
      <c r="G23" s="82"/>
      <c r="H23" s="82"/>
    </row>
    <row r="24" spans="1:8" ht="28.8" x14ac:dyDescent="0.3">
      <c r="A24" s="13" t="s">
        <v>418</v>
      </c>
      <c r="B24" s="82" t="s">
        <v>419</v>
      </c>
      <c r="C24" s="82">
        <v>2017</v>
      </c>
      <c r="D24" s="82" t="s">
        <v>412</v>
      </c>
      <c r="E24" s="145">
        <f>SUMPRODUCT(F24:H24,F$20:H$20)/SUM(F$20:H$20)</f>
        <v>0.52411702283552208</v>
      </c>
      <c r="F24" s="32">
        <v>0.5448469926134365</v>
      </c>
      <c r="G24" s="32">
        <v>0.51298701298701299</v>
      </c>
      <c r="H24" s="32">
        <v>0.39814814814814808</v>
      </c>
    </row>
    <row r="26" spans="1:8" x14ac:dyDescent="0.3">
      <c r="A26" s="4" t="s">
        <v>207</v>
      </c>
      <c r="B26" s="82"/>
      <c r="C26" s="82"/>
      <c r="D26" s="82"/>
      <c r="E26" s="82"/>
      <c r="F26" s="82"/>
      <c r="G26" s="82"/>
      <c r="H26" s="82"/>
    </row>
    <row r="27" spans="1:8" x14ac:dyDescent="0.3">
      <c r="A27" s="3" t="s">
        <v>208</v>
      </c>
      <c r="B27" s="82" t="s">
        <v>406</v>
      </c>
      <c r="C27" s="82">
        <v>2019</v>
      </c>
      <c r="D27" s="82" t="s">
        <v>414</v>
      </c>
      <c r="E27" s="145">
        <f t="shared" ref="E27:E32" si="0">SUMPRODUCT(F27:H27,F$8:H$8)/SUM(F$8:H$8)</f>
        <v>0.10939012584704742</v>
      </c>
      <c r="F27" s="34">
        <v>0.10725308641975308</v>
      </c>
      <c r="G27" s="34">
        <v>9.195402298850576E-2</v>
      </c>
      <c r="H27" s="34">
        <v>0.12722298221614226</v>
      </c>
    </row>
    <row r="28" spans="1:8" x14ac:dyDescent="0.3">
      <c r="A28" s="3" t="s">
        <v>209</v>
      </c>
      <c r="B28" s="82" t="s">
        <v>406</v>
      </c>
      <c r="C28" s="82">
        <v>2019</v>
      </c>
      <c r="D28" s="82" t="s">
        <v>420</v>
      </c>
      <c r="E28" s="145">
        <f t="shared" si="0"/>
        <v>1.3956114875766375E-2</v>
      </c>
      <c r="F28" s="34">
        <v>1.9069664902998235E-2</v>
      </c>
      <c r="G28" s="82"/>
      <c r="H28" s="82"/>
    </row>
    <row r="29" spans="1:8" x14ac:dyDescent="0.3">
      <c r="A29" s="3" t="s">
        <v>210</v>
      </c>
      <c r="B29" s="82" t="s">
        <v>406</v>
      </c>
      <c r="C29" s="82">
        <v>2019</v>
      </c>
      <c r="D29" s="82" t="s">
        <v>420</v>
      </c>
      <c r="E29" s="145">
        <f t="shared" si="0"/>
        <v>1.3875443691513389E-2</v>
      </c>
      <c r="F29" s="34">
        <v>1.8959435626102292E-2</v>
      </c>
      <c r="G29" s="82"/>
      <c r="H29" s="82"/>
    </row>
    <row r="30" spans="1:8" x14ac:dyDescent="0.3">
      <c r="A30" s="3" t="s">
        <v>211</v>
      </c>
      <c r="B30" s="82" t="s">
        <v>406</v>
      </c>
      <c r="C30" s="82">
        <v>2019</v>
      </c>
      <c r="D30" s="82" t="s">
        <v>420</v>
      </c>
      <c r="E30" s="145">
        <f t="shared" si="0"/>
        <v>0</v>
      </c>
      <c r="F30" s="35"/>
      <c r="G30" s="35"/>
      <c r="H30" s="35"/>
    </row>
    <row r="31" spans="1:8" x14ac:dyDescent="0.3">
      <c r="A31" s="3" t="s">
        <v>212</v>
      </c>
      <c r="B31" s="82" t="s">
        <v>406</v>
      </c>
      <c r="C31" s="82">
        <v>2019</v>
      </c>
      <c r="D31" s="82" t="s">
        <v>420</v>
      </c>
      <c r="E31" s="145">
        <f t="shared" si="0"/>
        <v>1.7666989351403675E-2</v>
      </c>
      <c r="F31" s="34">
        <v>2.4140211640211639E-2</v>
      </c>
      <c r="G31" s="82"/>
      <c r="H31" s="82"/>
    </row>
    <row r="32" spans="1:8" x14ac:dyDescent="0.3">
      <c r="A32" s="3" t="s">
        <v>213</v>
      </c>
      <c r="B32" s="82" t="s">
        <v>406</v>
      </c>
      <c r="C32" s="82">
        <v>2019</v>
      </c>
      <c r="D32" s="82" t="s">
        <v>420</v>
      </c>
      <c r="E32" s="145">
        <f t="shared" si="0"/>
        <v>6.4698289770893827E-2</v>
      </c>
      <c r="F32" s="34">
        <v>5.7429453262786596E-2</v>
      </c>
      <c r="G32" s="34">
        <v>9.0185676392572939E-2</v>
      </c>
      <c r="H32" s="34">
        <v>8.1623347013223879E-2</v>
      </c>
    </row>
    <row r="34" spans="1:8" x14ac:dyDescent="0.3">
      <c r="A34" s="3" t="s">
        <v>208</v>
      </c>
      <c r="B34" s="82" t="s">
        <v>419</v>
      </c>
      <c r="C34" s="82">
        <v>2017</v>
      </c>
      <c r="D34" s="82" t="s">
        <v>414</v>
      </c>
      <c r="E34" s="145">
        <f t="shared" ref="E34:E39" si="1">SUMPRODUCT(F34:H34,F$20:H$20)/SUM(F$20:H$20)</f>
        <v>0.18181818181818185</v>
      </c>
      <c r="F34" s="34">
        <v>0.18685888550041588</v>
      </c>
      <c r="G34" s="34">
        <v>0.12723214285714288</v>
      </c>
      <c r="H34" s="34">
        <v>0.19314079422382671</v>
      </c>
    </row>
    <row r="35" spans="1:8" x14ac:dyDescent="0.3">
      <c r="A35" s="3" t="s">
        <v>209</v>
      </c>
      <c r="B35" s="82" t="s">
        <v>419</v>
      </c>
      <c r="C35" s="82">
        <v>2017</v>
      </c>
      <c r="D35" s="82" t="s">
        <v>420</v>
      </c>
      <c r="E35" s="145">
        <f t="shared" si="1"/>
        <v>1.9093078758949882E-2</v>
      </c>
      <c r="F35" s="34">
        <v>1.4416412531189355E-2</v>
      </c>
      <c r="G35" s="34"/>
      <c r="H35" s="34">
        <v>6.4981949458483762E-2</v>
      </c>
    </row>
    <row r="36" spans="1:8" x14ac:dyDescent="0.3">
      <c r="A36" s="3" t="s">
        <v>210</v>
      </c>
      <c r="B36" s="82" t="s">
        <v>419</v>
      </c>
      <c r="C36" s="82">
        <v>2017</v>
      </c>
      <c r="D36" s="82" t="s">
        <v>420</v>
      </c>
      <c r="E36" s="145">
        <f t="shared" si="1"/>
        <v>1.5187676285528315E-2</v>
      </c>
      <c r="F36" s="34">
        <v>1.9406709176601054E-2</v>
      </c>
      <c r="G36" s="82"/>
      <c r="H36" s="82"/>
    </row>
    <row r="37" spans="1:8" x14ac:dyDescent="0.3">
      <c r="A37" s="3" t="s">
        <v>211</v>
      </c>
      <c r="B37" s="82" t="s">
        <v>419</v>
      </c>
      <c r="C37" s="82">
        <v>2017</v>
      </c>
      <c r="D37" s="82" t="s">
        <v>420</v>
      </c>
      <c r="E37" s="145">
        <f t="shared" si="1"/>
        <v>1.3451941852896507E-2</v>
      </c>
      <c r="F37" s="34">
        <v>1.7188799556418076E-2</v>
      </c>
      <c r="G37" s="82"/>
      <c r="H37" s="82"/>
    </row>
    <row r="38" spans="1:8" x14ac:dyDescent="0.3">
      <c r="A38" s="3" t="s">
        <v>212</v>
      </c>
      <c r="B38" s="82" t="s">
        <v>419</v>
      </c>
      <c r="C38" s="82">
        <v>2017</v>
      </c>
      <c r="D38" s="82" t="s">
        <v>420</v>
      </c>
      <c r="E38" s="145">
        <f t="shared" si="1"/>
        <v>1.4319809069212411E-2</v>
      </c>
      <c r="F38" s="34">
        <v>1.8297754366509565E-2</v>
      </c>
      <c r="G38" s="82"/>
      <c r="H38" s="82"/>
    </row>
    <row r="39" spans="1:8" x14ac:dyDescent="0.3">
      <c r="A39" s="3" t="s">
        <v>213</v>
      </c>
      <c r="B39" s="82" t="s">
        <v>419</v>
      </c>
      <c r="C39" s="82">
        <v>2017</v>
      </c>
      <c r="D39" s="82" t="s">
        <v>420</v>
      </c>
      <c r="E39" s="145">
        <f t="shared" si="1"/>
        <v>9.1343024517248864E-2</v>
      </c>
      <c r="F39" s="34">
        <v>9.1211533130024947E-2</v>
      </c>
      <c r="G39" s="34">
        <v>9.1517857142857137E-2</v>
      </c>
      <c r="H39" s="34">
        <v>9.2057761732851975E-2</v>
      </c>
    </row>
  </sheetData>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8359-37E2-46CD-9D80-EB67852B639D}">
  <sheetPr codeName="Sheet21"/>
  <dimension ref="A1:P118"/>
  <sheetViews>
    <sheetView workbookViewId="0">
      <selection activeCell="A12" sqref="A12"/>
    </sheetView>
  </sheetViews>
  <sheetFormatPr defaultColWidth="8.88671875" defaultRowHeight="14.4" x14ac:dyDescent="0.3"/>
  <cols>
    <col min="1" max="1" width="20.44140625" style="27" bestFit="1" customWidth="1"/>
    <col min="2" max="2" width="11.33203125" style="27" bestFit="1" customWidth="1"/>
    <col min="3" max="3" width="10" style="27" bestFit="1" customWidth="1"/>
    <col min="4" max="4" width="10.109375" style="27" bestFit="1" customWidth="1"/>
    <col min="5" max="7" width="9.109375" style="27" bestFit="1" customWidth="1"/>
    <col min="8" max="14" width="8.88671875" style="27"/>
    <col min="15" max="16" width="13.21875" style="27" customWidth="1"/>
    <col min="17" max="16384" width="8.88671875" style="27"/>
  </cols>
  <sheetData>
    <row r="1" spans="1:16" ht="40.799999999999997" thickBot="1" x14ac:dyDescent="0.35">
      <c r="A1" s="43" t="s">
        <v>22</v>
      </c>
      <c r="B1" s="42" t="s">
        <v>20</v>
      </c>
      <c r="C1" s="44" t="s">
        <v>421</v>
      </c>
      <c r="D1" s="25" t="s">
        <v>422</v>
      </c>
      <c r="E1" s="25" t="s">
        <v>423</v>
      </c>
      <c r="F1" s="26" t="s">
        <v>424</v>
      </c>
      <c r="H1" s="44" t="s">
        <v>425</v>
      </c>
      <c r="I1" s="44" t="s">
        <v>426</v>
      </c>
      <c r="J1" s="45" t="s">
        <v>427</v>
      </c>
      <c r="K1" s="45" t="s">
        <v>428</v>
      </c>
      <c r="L1" s="45" t="s">
        <v>429</v>
      </c>
      <c r="M1" s="46" t="s">
        <v>430</v>
      </c>
      <c r="N1" s="46" t="s">
        <v>431</v>
      </c>
      <c r="O1" s="192" t="s">
        <v>519</v>
      </c>
      <c r="P1" s="192" t="s">
        <v>453</v>
      </c>
    </row>
    <row r="2" spans="1:16" x14ac:dyDescent="0.3">
      <c r="A2" s="48" t="s">
        <v>278</v>
      </c>
      <c r="B2" s="47" t="s">
        <v>432</v>
      </c>
      <c r="C2" s="28">
        <f t="shared" ref="C2:C33" si="0">SUM(D2:F2)</f>
        <v>22617.569067083437</v>
      </c>
      <c r="D2" s="28">
        <f t="shared" ref="D2:D33" si="1">J2*(1-$M2)</f>
        <v>13500.984491464294</v>
      </c>
      <c r="E2" s="28">
        <f t="shared" ref="E2:E33" si="2">K2*(1-$M2)</f>
        <v>3327.5581870641981</v>
      </c>
      <c r="F2" s="28">
        <f t="shared" ref="F2:F33" si="3">L2*(1-$M2)</f>
        <v>5789.0263885549411</v>
      </c>
      <c r="H2" s="49">
        <v>22873</v>
      </c>
      <c r="I2" s="49">
        <f t="shared" ref="I2:I33" si="4">SUM(J2:L2)</f>
        <v>23477</v>
      </c>
      <c r="J2" s="49">
        <v>14014</v>
      </c>
      <c r="K2" s="49">
        <v>3454</v>
      </c>
      <c r="L2" s="49">
        <v>6009</v>
      </c>
      <c r="M2" s="50">
        <v>3.66073575378697E-2</v>
      </c>
      <c r="N2" s="51">
        <f t="shared" ref="N2:N33" si="5">(I2-H2)/H2</f>
        <v>2.6406680365496437E-2</v>
      </c>
      <c r="O2" s="191">
        <f>MAX(0.1*(I2-H2)/I2,0)</f>
        <v>2.5727307577629172E-3</v>
      </c>
      <c r="P2" s="191">
        <f>MAX(($I2/$H2)^0.1-1,0)</f>
        <v>2.609803908417252E-3</v>
      </c>
    </row>
    <row r="3" spans="1:16" x14ac:dyDescent="0.3">
      <c r="A3" s="48" t="s">
        <v>279</v>
      </c>
      <c r="B3" s="47" t="s">
        <v>432</v>
      </c>
      <c r="C3" s="28">
        <f t="shared" si="0"/>
        <v>4944.9845272206303</v>
      </c>
      <c r="D3" s="28">
        <f t="shared" si="1"/>
        <v>3957.4670487106018</v>
      </c>
      <c r="E3" s="28">
        <f t="shared" si="2"/>
        <v>217.29083094555875</v>
      </c>
      <c r="F3" s="28">
        <f t="shared" si="3"/>
        <v>770.22664756446989</v>
      </c>
      <c r="H3" s="49">
        <v>5255</v>
      </c>
      <c r="I3" s="49">
        <f t="shared" si="4"/>
        <v>5348</v>
      </c>
      <c r="J3" s="49">
        <v>4280</v>
      </c>
      <c r="K3" s="49">
        <v>235</v>
      </c>
      <c r="L3" s="49">
        <v>833</v>
      </c>
      <c r="M3" s="50">
        <v>7.535816618911173E-2</v>
      </c>
      <c r="N3" s="51">
        <f t="shared" si="5"/>
        <v>1.7697431018078021E-2</v>
      </c>
      <c r="O3" s="191">
        <f t="shared" ref="O3:O66" si="6">MAX(0.1*(I3-H3)/I3,0)</f>
        <v>1.7389678384442783E-3</v>
      </c>
      <c r="P3" s="191">
        <f t="shared" ref="P3:P66" si="7">MAX(($I3/$H3)^0.1-1,0)</f>
        <v>1.7558051149562104E-3</v>
      </c>
    </row>
    <row r="4" spans="1:16" x14ac:dyDescent="0.3">
      <c r="A4" s="74" t="s">
        <v>280</v>
      </c>
      <c r="B4" s="71" t="s">
        <v>433</v>
      </c>
      <c r="C4" s="28">
        <f t="shared" si="0"/>
        <v>4782.1034427284421</v>
      </c>
      <c r="D4" s="28">
        <f t="shared" si="1"/>
        <v>4714.9525418275416</v>
      </c>
      <c r="E4" s="28">
        <f t="shared" si="2"/>
        <v>45.08703346203346</v>
      </c>
      <c r="F4" s="28">
        <f t="shared" si="3"/>
        <v>22.063867438867437</v>
      </c>
      <c r="H4" s="72">
        <v>4899</v>
      </c>
      <c r="I4" s="72">
        <f t="shared" si="4"/>
        <v>4985</v>
      </c>
      <c r="J4" s="72">
        <v>4915</v>
      </c>
      <c r="K4" s="72">
        <v>47</v>
      </c>
      <c r="L4" s="72">
        <v>23</v>
      </c>
      <c r="M4" s="50">
        <v>4.0701415701415722E-2</v>
      </c>
      <c r="N4" s="51">
        <f t="shared" si="5"/>
        <v>1.7554602980200042E-2</v>
      </c>
      <c r="O4" s="191">
        <f t="shared" si="6"/>
        <v>1.7251755265797392E-3</v>
      </c>
      <c r="P4" s="191">
        <f t="shared" si="7"/>
        <v>1.7417451548291663E-3</v>
      </c>
    </row>
    <row r="5" spans="1:16" x14ac:dyDescent="0.3">
      <c r="A5" s="48" t="s">
        <v>282</v>
      </c>
      <c r="B5" s="71" t="s">
        <v>434</v>
      </c>
      <c r="C5" s="28">
        <f t="shared" si="0"/>
        <v>29730.164263942668</v>
      </c>
      <c r="D5" s="28">
        <f t="shared" si="1"/>
        <v>26727.689595518579</v>
      </c>
      <c r="E5" s="28">
        <f t="shared" si="2"/>
        <v>1613.5940906719391</v>
      </c>
      <c r="F5" s="28">
        <f t="shared" si="3"/>
        <v>1388.8805777521488</v>
      </c>
      <c r="H5" s="72">
        <v>30065</v>
      </c>
      <c r="I5" s="72">
        <f t="shared" si="4"/>
        <v>31488</v>
      </c>
      <c r="J5" s="72">
        <v>28308</v>
      </c>
      <c r="K5" s="72">
        <v>1709</v>
      </c>
      <c r="L5" s="72">
        <v>1471</v>
      </c>
      <c r="M5" s="50">
        <v>5.5825575967268004E-2</v>
      </c>
      <c r="N5" s="51">
        <f t="shared" si="5"/>
        <v>4.7330783302843842E-2</v>
      </c>
      <c r="O5" s="191">
        <f t="shared" si="6"/>
        <v>4.5191819105691059E-3</v>
      </c>
      <c r="P5" s="191">
        <f t="shared" si="7"/>
        <v>4.6351910551778452E-3</v>
      </c>
    </row>
    <row r="6" spans="1:16" x14ac:dyDescent="0.3">
      <c r="A6" s="48" t="s">
        <v>284</v>
      </c>
      <c r="B6" s="47" t="s">
        <v>435</v>
      </c>
      <c r="C6" s="28">
        <f t="shared" si="0"/>
        <v>2256</v>
      </c>
      <c r="D6" s="28">
        <f t="shared" si="1"/>
        <v>2193.2337042925278</v>
      </c>
      <c r="E6" s="28">
        <f t="shared" si="2"/>
        <v>44.833068362480127</v>
      </c>
      <c r="F6" s="28">
        <f t="shared" si="3"/>
        <v>17.933227344992051</v>
      </c>
      <c r="H6" s="49">
        <v>2530</v>
      </c>
      <c r="I6" s="49">
        <f t="shared" si="4"/>
        <v>2516</v>
      </c>
      <c r="J6" s="49">
        <v>2446</v>
      </c>
      <c r="K6" s="49">
        <v>50</v>
      </c>
      <c r="L6" s="49">
        <v>20</v>
      </c>
      <c r="M6" s="50">
        <v>0.10333863275039745</v>
      </c>
      <c r="N6" s="70">
        <f t="shared" si="5"/>
        <v>-5.5335968379446642E-3</v>
      </c>
      <c r="O6" s="191">
        <f t="shared" si="6"/>
        <v>0</v>
      </c>
      <c r="P6" s="191">
        <f t="shared" si="7"/>
        <v>0</v>
      </c>
    </row>
    <row r="7" spans="1:16" x14ac:dyDescent="0.3">
      <c r="A7" s="48" t="s">
        <v>286</v>
      </c>
      <c r="B7" s="47" t="s">
        <v>435</v>
      </c>
      <c r="C7" s="28">
        <f t="shared" si="0"/>
        <v>7032.4542190305219</v>
      </c>
      <c r="D7" s="28">
        <f t="shared" si="1"/>
        <v>6077.6858168761228</v>
      </c>
      <c r="E7" s="28">
        <f t="shared" si="2"/>
        <v>627.39228007181327</v>
      </c>
      <c r="F7" s="28">
        <f t="shared" si="3"/>
        <v>327.37612208258531</v>
      </c>
      <c r="H7" s="49">
        <v>7384</v>
      </c>
      <c r="I7" s="49">
        <f t="shared" si="4"/>
        <v>7454</v>
      </c>
      <c r="J7" s="49">
        <v>6442</v>
      </c>
      <c r="K7" s="49">
        <v>665</v>
      </c>
      <c r="L7" s="49">
        <v>347</v>
      </c>
      <c r="M7" s="50">
        <v>5.6552962298025089E-2</v>
      </c>
      <c r="N7" s="70">
        <f t="shared" si="5"/>
        <v>9.4799566630552543E-3</v>
      </c>
      <c r="O7" s="191">
        <f t="shared" si="6"/>
        <v>9.3909310437349076E-4</v>
      </c>
      <c r="P7" s="191">
        <f t="shared" si="7"/>
        <v>9.4397565047521503E-4</v>
      </c>
    </row>
    <row r="8" spans="1:16" x14ac:dyDescent="0.3">
      <c r="A8" s="48" t="s">
        <v>287</v>
      </c>
      <c r="B8" s="71" t="s">
        <v>436</v>
      </c>
      <c r="C8" s="28">
        <f t="shared" si="0"/>
        <v>886.58531935176359</v>
      </c>
      <c r="D8" s="28">
        <f t="shared" si="1"/>
        <v>771.81982840800765</v>
      </c>
      <c r="E8" s="28">
        <f t="shared" si="2"/>
        <v>43.803622497616779</v>
      </c>
      <c r="F8" s="28">
        <f t="shared" si="3"/>
        <v>70.961868446139178</v>
      </c>
      <c r="H8" s="49">
        <v>1008</v>
      </c>
      <c r="I8" s="49">
        <f t="shared" si="4"/>
        <v>1012</v>
      </c>
      <c r="J8" s="49">
        <v>881</v>
      </c>
      <c r="K8" s="49">
        <v>50</v>
      </c>
      <c r="L8" s="49">
        <v>81</v>
      </c>
      <c r="M8" s="50">
        <v>0.12392755004766443</v>
      </c>
      <c r="N8" s="51">
        <f t="shared" si="5"/>
        <v>3.968253968253968E-3</v>
      </c>
      <c r="O8" s="191">
        <f t="shared" si="6"/>
        <v>3.9525691699604743E-4</v>
      </c>
      <c r="P8" s="191">
        <f t="shared" si="7"/>
        <v>3.9611855585275357E-4</v>
      </c>
    </row>
    <row r="9" spans="1:16" x14ac:dyDescent="0.3">
      <c r="A9" s="48" t="s">
        <v>289</v>
      </c>
      <c r="B9" s="47" t="s">
        <v>389</v>
      </c>
      <c r="C9" s="28">
        <f t="shared" si="0"/>
        <v>9068.4737166505238</v>
      </c>
      <c r="D9" s="28">
        <f t="shared" si="1"/>
        <v>7136.129611693229</v>
      </c>
      <c r="E9" s="28">
        <f t="shared" si="2"/>
        <v>810.70705291890465</v>
      </c>
      <c r="F9" s="28">
        <f t="shared" si="3"/>
        <v>1121.6370520383905</v>
      </c>
      <c r="H9" s="49">
        <v>9457</v>
      </c>
      <c r="I9" s="49">
        <f t="shared" si="4"/>
        <v>9508</v>
      </c>
      <c r="J9" s="49">
        <v>7482</v>
      </c>
      <c r="K9" s="49">
        <v>850</v>
      </c>
      <c r="L9" s="49">
        <v>1176</v>
      </c>
      <c r="M9" s="50">
        <v>4.6226996565994494E-2</v>
      </c>
      <c r="N9" s="51">
        <f t="shared" si="5"/>
        <v>5.3928307074124987E-3</v>
      </c>
      <c r="O9" s="191">
        <f t="shared" si="6"/>
        <v>5.3639040807740854E-4</v>
      </c>
      <c r="P9" s="191">
        <f t="shared" si="7"/>
        <v>5.379788051746992E-4</v>
      </c>
    </row>
    <row r="10" spans="1:16" x14ac:dyDescent="0.3">
      <c r="A10" s="48" t="s">
        <v>291</v>
      </c>
      <c r="B10" s="47" t="s">
        <v>432</v>
      </c>
      <c r="C10" s="28">
        <f t="shared" si="0"/>
        <v>30994.725913781462</v>
      </c>
      <c r="D10" s="28">
        <f t="shared" si="1"/>
        <v>19662.49127206095</v>
      </c>
      <c r="E10" s="28">
        <f t="shared" si="2"/>
        <v>1948.0327900472562</v>
      </c>
      <c r="F10" s="28">
        <f t="shared" si="3"/>
        <v>9384.2018516732569</v>
      </c>
      <c r="H10" s="49">
        <v>32964</v>
      </c>
      <c r="I10" s="49">
        <f t="shared" si="4"/>
        <v>33349</v>
      </c>
      <c r="J10" s="49">
        <v>21156</v>
      </c>
      <c r="K10" s="49">
        <v>2096</v>
      </c>
      <c r="L10" s="49">
        <v>10097</v>
      </c>
      <c r="M10" s="50">
        <v>7.0595042916385409E-2</v>
      </c>
      <c r="N10" s="51">
        <f t="shared" si="5"/>
        <v>1.1679407838854508E-2</v>
      </c>
      <c r="O10" s="191">
        <f t="shared" si="6"/>
        <v>1.1544574050196407E-3</v>
      </c>
      <c r="P10" s="191">
        <f t="shared" si="7"/>
        <v>1.1618474227275133E-3</v>
      </c>
    </row>
    <row r="11" spans="1:16" x14ac:dyDescent="0.3">
      <c r="A11" s="48" t="s">
        <v>292</v>
      </c>
      <c r="B11" s="47" t="s">
        <v>434</v>
      </c>
      <c r="C11" s="28">
        <f t="shared" si="0"/>
        <v>19134.385928608379</v>
      </c>
      <c r="D11" s="28">
        <f t="shared" si="1"/>
        <v>18103.687532333159</v>
      </c>
      <c r="E11" s="28">
        <f t="shared" si="2"/>
        <v>656.94981893429895</v>
      </c>
      <c r="F11" s="28">
        <f t="shared" si="3"/>
        <v>373.74857734092086</v>
      </c>
      <c r="H11" s="49">
        <v>16178</v>
      </c>
      <c r="I11" s="49">
        <f t="shared" si="4"/>
        <v>19864</v>
      </c>
      <c r="J11" s="49">
        <v>18794</v>
      </c>
      <c r="K11" s="49">
        <v>682</v>
      </c>
      <c r="L11" s="49">
        <v>388</v>
      </c>
      <c r="M11" s="50">
        <v>3.6730470770822587E-2</v>
      </c>
      <c r="N11" s="51">
        <f t="shared" si="5"/>
        <v>0.22784027691927308</v>
      </c>
      <c r="O11" s="191">
        <f t="shared" si="6"/>
        <v>1.8556182037857433E-2</v>
      </c>
      <c r="P11" s="191">
        <f t="shared" si="7"/>
        <v>2.0737775717637463E-2</v>
      </c>
    </row>
    <row r="12" spans="1:16" x14ac:dyDescent="0.3">
      <c r="A12" s="48" t="s">
        <v>293</v>
      </c>
      <c r="B12" s="71" t="s">
        <v>435</v>
      </c>
      <c r="C12" s="28">
        <f t="shared" si="0"/>
        <v>1527.6313725490197</v>
      </c>
      <c r="D12" s="28">
        <f t="shared" si="1"/>
        <v>1099.3754901960785</v>
      </c>
      <c r="E12" s="28">
        <f t="shared" si="2"/>
        <v>217.8357843137255</v>
      </c>
      <c r="F12" s="28">
        <f t="shared" si="3"/>
        <v>210.4200980392157</v>
      </c>
      <c r="H12" s="49">
        <v>1542</v>
      </c>
      <c r="I12" s="49">
        <f t="shared" si="4"/>
        <v>1648</v>
      </c>
      <c r="J12" s="49">
        <v>1186</v>
      </c>
      <c r="K12" s="49">
        <v>235</v>
      </c>
      <c r="L12" s="49">
        <v>227</v>
      </c>
      <c r="M12" s="50">
        <v>7.3039215686274472E-2</v>
      </c>
      <c r="N12" s="51">
        <f t="shared" si="5"/>
        <v>6.8741893644617386E-2</v>
      </c>
      <c r="O12" s="191">
        <f t="shared" si="6"/>
        <v>6.4320388349514571E-3</v>
      </c>
      <c r="P12" s="191">
        <f t="shared" si="7"/>
        <v>6.6703640755088056E-3</v>
      </c>
    </row>
    <row r="13" spans="1:16" x14ac:dyDescent="0.3">
      <c r="A13" s="48" t="s">
        <v>294</v>
      </c>
      <c r="B13" s="71" t="s">
        <v>435</v>
      </c>
      <c r="C13" s="28">
        <f t="shared" si="0"/>
        <v>7328.6034115138591</v>
      </c>
      <c r="D13" s="28">
        <f t="shared" si="1"/>
        <v>5945.8836430094425</v>
      </c>
      <c r="E13" s="28">
        <f t="shared" si="2"/>
        <v>546.10828510508679</v>
      </c>
      <c r="F13" s="28">
        <f t="shared" si="3"/>
        <v>836.61148339932993</v>
      </c>
      <c r="H13" s="72">
        <v>7743</v>
      </c>
      <c r="I13" s="72">
        <f t="shared" si="4"/>
        <v>7770</v>
      </c>
      <c r="J13" s="72">
        <v>6304</v>
      </c>
      <c r="K13" s="72">
        <v>579</v>
      </c>
      <c r="L13" s="72">
        <v>887</v>
      </c>
      <c r="M13" s="50">
        <v>5.6807797745964006E-2</v>
      </c>
      <c r="N13" s="51">
        <f t="shared" si="5"/>
        <v>3.4870205346764819E-3</v>
      </c>
      <c r="O13" s="191">
        <f t="shared" si="6"/>
        <v>3.4749034749034753E-4</v>
      </c>
      <c r="P13" s="191">
        <f t="shared" si="7"/>
        <v>3.4815608976512813E-4</v>
      </c>
    </row>
    <row r="14" spans="1:16" x14ac:dyDescent="0.3">
      <c r="A14" s="48" t="s">
        <v>295</v>
      </c>
      <c r="B14" s="71" t="s">
        <v>433</v>
      </c>
      <c r="C14" s="28">
        <f t="shared" si="0"/>
        <v>1285.7008264462809</v>
      </c>
      <c r="D14" s="28">
        <f t="shared" si="1"/>
        <v>993.72892561983463</v>
      </c>
      <c r="E14" s="28">
        <f t="shared" si="2"/>
        <v>75.980991735537188</v>
      </c>
      <c r="F14" s="28">
        <f t="shared" si="3"/>
        <v>215.9909090909091</v>
      </c>
      <c r="H14" s="49">
        <v>1482</v>
      </c>
      <c r="I14" s="49">
        <f t="shared" si="4"/>
        <v>1506</v>
      </c>
      <c r="J14" s="49">
        <v>1164</v>
      </c>
      <c r="K14" s="49">
        <v>89</v>
      </c>
      <c r="L14" s="49">
        <v>253</v>
      </c>
      <c r="M14" s="50">
        <v>0.14628099173553721</v>
      </c>
      <c r="N14" s="51">
        <f t="shared" si="5"/>
        <v>1.6194331983805668E-2</v>
      </c>
      <c r="O14" s="191">
        <f t="shared" si="6"/>
        <v>1.5936254980079684E-3</v>
      </c>
      <c r="P14" s="191">
        <f t="shared" si="7"/>
        <v>1.6077512988954545E-3</v>
      </c>
    </row>
    <row r="15" spans="1:16" x14ac:dyDescent="0.3">
      <c r="A15" s="53" t="s">
        <v>296</v>
      </c>
      <c r="B15" s="52" t="s">
        <v>437</v>
      </c>
      <c r="C15" s="28">
        <f t="shared" si="0"/>
        <v>11690.996977191535</v>
      </c>
      <c r="D15" s="28">
        <f t="shared" si="1"/>
        <v>7590.1890629293757</v>
      </c>
      <c r="E15" s="28">
        <f t="shared" si="2"/>
        <v>2220.3473481725746</v>
      </c>
      <c r="F15" s="28">
        <f t="shared" si="3"/>
        <v>1880.460566089585</v>
      </c>
      <c r="H15" s="54">
        <v>11870</v>
      </c>
      <c r="I15" s="54">
        <f t="shared" si="4"/>
        <v>12658</v>
      </c>
      <c r="J15" s="54">
        <v>8218</v>
      </c>
      <c r="K15" s="54">
        <v>2404</v>
      </c>
      <c r="L15" s="54">
        <v>2036</v>
      </c>
      <c r="M15" s="55">
        <v>7.6394613904918973E-2</v>
      </c>
      <c r="N15" s="51">
        <f t="shared" si="5"/>
        <v>6.6385846672283061E-2</v>
      </c>
      <c r="O15" s="191">
        <f t="shared" si="6"/>
        <v>6.2253120556170017E-3</v>
      </c>
      <c r="P15" s="191">
        <f t="shared" si="7"/>
        <v>6.448222619172661E-3</v>
      </c>
    </row>
    <row r="16" spans="1:16" x14ac:dyDescent="0.3">
      <c r="A16" s="57" t="s">
        <v>297</v>
      </c>
      <c r="B16" s="56" t="s">
        <v>434</v>
      </c>
      <c r="C16" s="28">
        <f t="shared" si="0"/>
        <v>3908.7633495145628</v>
      </c>
      <c r="D16" s="28">
        <f t="shared" si="1"/>
        <v>3278.8507281553398</v>
      </c>
      <c r="E16" s="28">
        <f t="shared" si="2"/>
        <v>524.92718446601941</v>
      </c>
      <c r="F16" s="28">
        <f t="shared" si="3"/>
        <v>104.98543689320388</v>
      </c>
      <c r="H16" s="58">
        <v>3987</v>
      </c>
      <c r="I16" s="58">
        <f t="shared" si="4"/>
        <v>4021</v>
      </c>
      <c r="J16" s="58">
        <v>3373</v>
      </c>
      <c r="K16" s="58">
        <v>540</v>
      </c>
      <c r="L16" s="58">
        <v>108</v>
      </c>
      <c r="M16" s="59">
        <v>2.7912621359223344E-2</v>
      </c>
      <c r="N16" s="51">
        <f t="shared" si="5"/>
        <v>8.5277150739904682E-3</v>
      </c>
      <c r="O16" s="191">
        <f t="shared" si="6"/>
        <v>8.4556080576970907E-4</v>
      </c>
      <c r="P16" s="191">
        <f t="shared" si="7"/>
        <v>8.4951658657828055E-4</v>
      </c>
    </row>
    <row r="17" spans="1:16" x14ac:dyDescent="0.3">
      <c r="A17" s="57" t="s">
        <v>298</v>
      </c>
      <c r="B17" s="60" t="s">
        <v>393</v>
      </c>
      <c r="C17" s="28">
        <f t="shared" si="0"/>
        <v>2840.1790368271954</v>
      </c>
      <c r="D17" s="28">
        <f t="shared" si="1"/>
        <v>2488.8362606232295</v>
      </c>
      <c r="E17" s="28">
        <f t="shared" si="2"/>
        <v>264.93144475920678</v>
      </c>
      <c r="F17" s="28">
        <f t="shared" si="3"/>
        <v>86.411331444759199</v>
      </c>
      <c r="H17" s="49">
        <v>2968</v>
      </c>
      <c r="I17" s="49">
        <f t="shared" si="4"/>
        <v>2991</v>
      </c>
      <c r="J17" s="49">
        <v>2621</v>
      </c>
      <c r="K17" s="49">
        <v>279</v>
      </c>
      <c r="L17" s="49">
        <v>91</v>
      </c>
      <c r="M17" s="50">
        <v>5.0424929178470301E-2</v>
      </c>
      <c r="N17" s="51">
        <f t="shared" si="5"/>
        <v>7.7493261455525604E-3</v>
      </c>
      <c r="O17" s="191">
        <f t="shared" si="6"/>
        <v>7.6897358742895362E-4</v>
      </c>
      <c r="P17" s="191">
        <f t="shared" si="7"/>
        <v>7.722434608261608E-4</v>
      </c>
    </row>
    <row r="18" spans="1:16" ht="15" thickBot="1" x14ac:dyDescent="0.35">
      <c r="A18" s="62" t="s">
        <v>300</v>
      </c>
      <c r="B18" s="61" t="s">
        <v>435</v>
      </c>
      <c r="C18" s="28">
        <f t="shared" si="0"/>
        <v>391.92069632495162</v>
      </c>
      <c r="D18" s="28">
        <f t="shared" si="1"/>
        <v>200.25145067698259</v>
      </c>
      <c r="E18" s="28">
        <f t="shared" si="2"/>
        <v>107.75435203094777</v>
      </c>
      <c r="F18" s="28">
        <f t="shared" si="3"/>
        <v>83.914893617021278</v>
      </c>
      <c r="H18" s="63">
        <v>406</v>
      </c>
      <c r="I18" s="63">
        <f t="shared" si="4"/>
        <v>411</v>
      </c>
      <c r="J18" s="63">
        <v>210</v>
      </c>
      <c r="K18" s="63">
        <v>113</v>
      </c>
      <c r="L18" s="63">
        <v>88</v>
      </c>
      <c r="M18" s="64">
        <v>4.6421663442940075E-2</v>
      </c>
      <c r="N18" s="51">
        <f t="shared" si="5"/>
        <v>1.2315270935960592E-2</v>
      </c>
      <c r="O18" s="191">
        <f t="shared" si="6"/>
        <v>1.2165450121654502E-3</v>
      </c>
      <c r="P18" s="191">
        <f t="shared" si="7"/>
        <v>1.2247548898949301E-3</v>
      </c>
    </row>
    <row r="19" spans="1:16" x14ac:dyDescent="0.3">
      <c r="A19" s="48" t="s">
        <v>301</v>
      </c>
      <c r="B19" s="47" t="s">
        <v>434</v>
      </c>
      <c r="C19" s="28">
        <f t="shared" si="0"/>
        <v>32556.476295968096</v>
      </c>
      <c r="D19" s="28">
        <f t="shared" si="1"/>
        <v>26192.35375656687</v>
      </c>
      <c r="E19" s="28">
        <f t="shared" si="2"/>
        <v>3063.7122602696372</v>
      </c>
      <c r="F19" s="28">
        <f t="shared" si="3"/>
        <v>3300.4102791315904</v>
      </c>
      <c r="H19" s="49">
        <v>33923</v>
      </c>
      <c r="I19" s="49">
        <f t="shared" si="4"/>
        <v>34111</v>
      </c>
      <c r="J19" s="49">
        <v>27443</v>
      </c>
      <c r="K19" s="49">
        <v>3210</v>
      </c>
      <c r="L19" s="49">
        <v>3458</v>
      </c>
      <c r="M19" s="50">
        <v>4.5572504588898055E-2</v>
      </c>
      <c r="N19" s="51">
        <f t="shared" si="5"/>
        <v>5.5419626801874837E-3</v>
      </c>
      <c r="O19" s="191">
        <f t="shared" si="6"/>
        <v>5.5114186039693946E-4</v>
      </c>
      <c r="P19" s="191">
        <f t="shared" si="7"/>
        <v>5.5281899889458863E-4</v>
      </c>
    </row>
    <row r="20" spans="1:16" x14ac:dyDescent="0.3">
      <c r="A20" s="48" t="s">
        <v>302</v>
      </c>
      <c r="B20" s="71" t="s">
        <v>436</v>
      </c>
      <c r="C20" s="28">
        <f t="shared" si="0"/>
        <v>3370.4963400236124</v>
      </c>
      <c r="D20" s="28">
        <f t="shared" si="1"/>
        <v>2404.8894923258558</v>
      </c>
      <c r="E20" s="28">
        <f t="shared" si="2"/>
        <v>605.30578512396687</v>
      </c>
      <c r="F20" s="28">
        <f t="shared" si="3"/>
        <v>360.30106257378981</v>
      </c>
      <c r="H20" s="72">
        <v>3479</v>
      </c>
      <c r="I20" s="72">
        <f t="shared" si="4"/>
        <v>3508</v>
      </c>
      <c r="J20" s="72">
        <v>2503</v>
      </c>
      <c r="K20" s="72">
        <v>630</v>
      </c>
      <c r="L20" s="72">
        <v>375</v>
      </c>
      <c r="M20" s="50">
        <v>3.9197166469893796E-2</v>
      </c>
      <c r="N20" s="51">
        <f t="shared" si="5"/>
        <v>8.335728657660248E-3</v>
      </c>
      <c r="O20" s="191">
        <f t="shared" si="6"/>
        <v>8.2668187001140256E-4</v>
      </c>
      <c r="P20" s="191">
        <f t="shared" si="7"/>
        <v>8.3046247718043809E-4</v>
      </c>
    </row>
    <row r="21" spans="1:16" x14ac:dyDescent="0.3">
      <c r="A21" s="48" t="s">
        <v>303</v>
      </c>
      <c r="B21" s="47" t="s">
        <v>393</v>
      </c>
      <c r="C21" s="28">
        <f t="shared" si="0"/>
        <v>2369.8638906152887</v>
      </c>
      <c r="D21" s="28">
        <f t="shared" si="1"/>
        <v>1369.4207582349284</v>
      </c>
      <c r="E21" s="28">
        <f t="shared" si="2"/>
        <v>572.61591050341826</v>
      </c>
      <c r="F21" s="28">
        <f t="shared" si="3"/>
        <v>427.82722187694219</v>
      </c>
      <c r="H21" s="49">
        <v>2462</v>
      </c>
      <c r="I21" s="49">
        <f t="shared" si="4"/>
        <v>2537</v>
      </c>
      <c r="J21" s="49">
        <v>1466</v>
      </c>
      <c r="K21" s="49">
        <v>613</v>
      </c>
      <c r="L21" s="49">
        <v>458</v>
      </c>
      <c r="M21" s="50">
        <v>6.5879428216283453E-2</v>
      </c>
      <c r="N21" s="51">
        <f t="shared" si="5"/>
        <v>3.0463038180341188E-2</v>
      </c>
      <c r="O21" s="191">
        <f t="shared" si="6"/>
        <v>2.9562475364603865E-3</v>
      </c>
      <c r="P21" s="191">
        <f t="shared" si="7"/>
        <v>3.0053322687808581E-3</v>
      </c>
    </row>
    <row r="22" spans="1:16" x14ac:dyDescent="0.3">
      <c r="A22" s="48" t="s">
        <v>304</v>
      </c>
      <c r="B22" s="71" t="s">
        <v>437</v>
      </c>
      <c r="C22" s="28">
        <f t="shared" si="0"/>
        <v>15781.559880381637</v>
      </c>
      <c r="D22" s="28">
        <f t="shared" si="1"/>
        <v>11403.804908150187</v>
      </c>
      <c r="E22" s="28">
        <f t="shared" si="2"/>
        <v>2441.3672568472016</v>
      </c>
      <c r="F22" s="28">
        <f t="shared" si="3"/>
        <v>1936.3877153842502</v>
      </c>
      <c r="H22" s="72">
        <v>16605</v>
      </c>
      <c r="I22" s="72">
        <f t="shared" si="4"/>
        <v>16626</v>
      </c>
      <c r="J22" s="72">
        <v>12014</v>
      </c>
      <c r="K22" s="72">
        <v>2572</v>
      </c>
      <c r="L22" s="72">
        <v>2040</v>
      </c>
      <c r="M22" s="50">
        <v>5.0790335595955804E-2</v>
      </c>
      <c r="N22" s="51">
        <f t="shared" si="5"/>
        <v>1.2646793134598012E-3</v>
      </c>
      <c r="O22" s="191">
        <f t="shared" si="6"/>
        <v>1.2630819198845183E-4</v>
      </c>
      <c r="P22" s="191">
        <f t="shared" si="7"/>
        <v>1.26396015321939E-4</v>
      </c>
    </row>
    <row r="23" spans="1:16" x14ac:dyDescent="0.3">
      <c r="A23" s="74" t="s">
        <v>305</v>
      </c>
      <c r="B23" s="47" t="s">
        <v>435</v>
      </c>
      <c r="C23" s="28">
        <f t="shared" si="0"/>
        <v>23852.419744675808</v>
      </c>
      <c r="D23" s="28">
        <f t="shared" si="1"/>
        <v>15274.802020082343</v>
      </c>
      <c r="E23" s="28">
        <f t="shared" si="2"/>
        <v>4689.0848908503895</v>
      </c>
      <c r="F23" s="28">
        <f t="shared" si="3"/>
        <v>3888.5328337430765</v>
      </c>
      <c r="H23" s="49">
        <v>24285</v>
      </c>
      <c r="I23" s="49">
        <f t="shared" si="4"/>
        <v>24849</v>
      </c>
      <c r="J23" s="49">
        <v>15913</v>
      </c>
      <c r="K23" s="49">
        <v>4885</v>
      </c>
      <c r="L23" s="49">
        <v>4051</v>
      </c>
      <c r="M23" s="50">
        <v>4.0105447113533366E-2</v>
      </c>
      <c r="N23" s="51">
        <f t="shared" si="5"/>
        <v>2.3224212476837553E-2</v>
      </c>
      <c r="O23" s="191">
        <f t="shared" si="6"/>
        <v>2.2697090426174096E-3</v>
      </c>
      <c r="P23" s="191">
        <f t="shared" si="7"/>
        <v>2.2985009612102036E-3</v>
      </c>
    </row>
    <row r="24" spans="1:16" x14ac:dyDescent="0.3">
      <c r="A24" s="48" t="s">
        <v>306</v>
      </c>
      <c r="B24" s="47" t="s">
        <v>434</v>
      </c>
      <c r="C24" s="28">
        <f t="shared" si="0"/>
        <v>14752.830349478847</v>
      </c>
      <c r="D24" s="28">
        <f t="shared" si="1"/>
        <v>11792.335499693439</v>
      </c>
      <c r="E24" s="28">
        <f t="shared" si="2"/>
        <v>2801.0615573267933</v>
      </c>
      <c r="F24" s="28">
        <f t="shared" si="3"/>
        <v>159.43329245861435</v>
      </c>
      <c r="H24" s="49">
        <v>15120</v>
      </c>
      <c r="I24" s="49">
        <f t="shared" si="4"/>
        <v>15453</v>
      </c>
      <c r="J24" s="49">
        <v>12352</v>
      </c>
      <c r="K24" s="49">
        <v>2934</v>
      </c>
      <c r="L24" s="49">
        <v>167</v>
      </c>
      <c r="M24" s="50">
        <v>4.5309625996321268E-2</v>
      </c>
      <c r="N24" s="51">
        <f t="shared" si="5"/>
        <v>2.2023809523809525E-2</v>
      </c>
      <c r="O24" s="191">
        <f t="shared" si="6"/>
        <v>2.1549213744903907E-3</v>
      </c>
      <c r="P24" s="191">
        <f t="shared" si="7"/>
        <v>2.1808534590992412E-3</v>
      </c>
    </row>
    <row r="25" spans="1:16" x14ac:dyDescent="0.3">
      <c r="A25" s="48" t="s">
        <v>307</v>
      </c>
      <c r="B25" s="47" t="s">
        <v>389</v>
      </c>
      <c r="C25" s="28">
        <f t="shared" si="0"/>
        <v>5700.1177698270722</v>
      </c>
      <c r="D25" s="28">
        <f t="shared" si="1"/>
        <v>5031.9685450208708</v>
      </c>
      <c r="E25" s="28">
        <f t="shared" si="2"/>
        <v>260.85942158616575</v>
      </c>
      <c r="F25" s="28">
        <f t="shared" si="3"/>
        <v>407.28980322003576</v>
      </c>
      <c r="H25" s="49">
        <v>5468</v>
      </c>
      <c r="I25" s="49">
        <f t="shared" si="4"/>
        <v>5878</v>
      </c>
      <c r="J25" s="49">
        <v>5189</v>
      </c>
      <c r="K25" s="49">
        <v>269</v>
      </c>
      <c r="L25" s="49">
        <v>420</v>
      </c>
      <c r="M25" s="50">
        <v>3.0262373285629085E-2</v>
      </c>
      <c r="N25" s="51">
        <f t="shared" si="5"/>
        <v>7.4981711777615215E-2</v>
      </c>
      <c r="O25" s="191">
        <f t="shared" si="6"/>
        <v>6.9751616195985033E-3</v>
      </c>
      <c r="P25" s="191">
        <f t="shared" si="7"/>
        <v>7.2565671143161037E-3</v>
      </c>
    </row>
    <row r="26" spans="1:16" x14ac:dyDescent="0.3">
      <c r="A26" s="48" t="s">
        <v>308</v>
      </c>
      <c r="B26" s="47" t="s">
        <v>432</v>
      </c>
      <c r="C26" s="28">
        <f t="shared" si="0"/>
        <v>15842.594240508979</v>
      </c>
      <c r="D26" s="28">
        <f t="shared" si="1"/>
        <v>11960.163994809762</v>
      </c>
      <c r="E26" s="28">
        <f t="shared" si="2"/>
        <v>3160.4868779038134</v>
      </c>
      <c r="F26" s="28">
        <f t="shared" si="3"/>
        <v>721.94336779540413</v>
      </c>
      <c r="H26" s="49">
        <v>10962</v>
      </c>
      <c r="I26" s="49">
        <f t="shared" si="4"/>
        <v>16963</v>
      </c>
      <c r="J26" s="49">
        <v>12806</v>
      </c>
      <c r="K26" s="49">
        <v>3384</v>
      </c>
      <c r="L26" s="49">
        <v>773</v>
      </c>
      <c r="M26" s="50">
        <v>6.6049976978778568E-2</v>
      </c>
      <c r="N26" s="51">
        <f t="shared" si="5"/>
        <v>0.54743659916073706</v>
      </c>
      <c r="O26" s="191">
        <f t="shared" si="6"/>
        <v>3.5376996993456346E-2</v>
      </c>
      <c r="P26" s="191">
        <f t="shared" si="7"/>
        <v>4.4627095676026629E-2</v>
      </c>
    </row>
    <row r="27" spans="1:16" x14ac:dyDescent="0.3">
      <c r="A27" s="48" t="s">
        <v>309</v>
      </c>
      <c r="B27" s="47" t="s">
        <v>435</v>
      </c>
      <c r="C27" s="28">
        <f t="shared" si="0"/>
        <v>4469.7509766855701</v>
      </c>
      <c r="D27" s="28">
        <f t="shared" si="1"/>
        <v>3907.1441713925647</v>
      </c>
      <c r="E27" s="28">
        <f t="shared" si="2"/>
        <v>294.56811594202901</v>
      </c>
      <c r="F27" s="28">
        <f t="shared" si="3"/>
        <v>268.03868935097671</v>
      </c>
      <c r="H27" s="49">
        <v>4806</v>
      </c>
      <c r="I27" s="49">
        <f t="shared" si="4"/>
        <v>4886</v>
      </c>
      <c r="J27" s="49">
        <v>4271</v>
      </c>
      <c r="K27" s="49">
        <v>322</v>
      </c>
      <c r="L27" s="49">
        <v>293</v>
      </c>
      <c r="M27" s="50">
        <v>8.5192186515437918E-2</v>
      </c>
      <c r="N27" s="51">
        <f t="shared" si="5"/>
        <v>1.6645859342488557E-2</v>
      </c>
      <c r="O27" s="191">
        <f t="shared" si="6"/>
        <v>1.637331150225133E-3</v>
      </c>
      <c r="P27" s="191">
        <f t="shared" si="7"/>
        <v>1.6522470105788667E-3</v>
      </c>
    </row>
    <row r="28" spans="1:16" x14ac:dyDescent="0.3">
      <c r="A28" s="48" t="s">
        <v>310</v>
      </c>
      <c r="B28" s="47" t="s">
        <v>434</v>
      </c>
      <c r="C28" s="28">
        <f t="shared" si="0"/>
        <v>8702.9960137706112</v>
      </c>
      <c r="D28" s="28">
        <f t="shared" si="1"/>
        <v>7034.7499547019388</v>
      </c>
      <c r="E28" s="28">
        <f t="shared" si="2"/>
        <v>350.51911578184456</v>
      </c>
      <c r="F28" s="28">
        <f t="shared" si="3"/>
        <v>1317.7269432868272</v>
      </c>
      <c r="H28" s="49">
        <v>9207</v>
      </c>
      <c r="I28" s="49">
        <f t="shared" si="4"/>
        <v>9286</v>
      </c>
      <c r="J28" s="49">
        <v>7506</v>
      </c>
      <c r="K28" s="49">
        <v>374</v>
      </c>
      <c r="L28" s="49">
        <v>1406</v>
      </c>
      <c r="M28" s="50">
        <v>6.278311288276861E-2</v>
      </c>
      <c r="N28" s="51">
        <f t="shared" si="5"/>
        <v>8.5804279352666452E-3</v>
      </c>
      <c r="O28" s="191">
        <f t="shared" si="6"/>
        <v>8.5074305405987512E-4</v>
      </c>
      <c r="P28" s="191">
        <f t="shared" si="7"/>
        <v>8.5474761792303511E-4</v>
      </c>
    </row>
    <row r="29" spans="1:16" x14ac:dyDescent="0.3">
      <c r="A29" s="48" t="s">
        <v>311</v>
      </c>
      <c r="B29" s="47" t="s">
        <v>432</v>
      </c>
      <c r="C29" s="28">
        <f t="shared" si="0"/>
        <v>1451.7780741531074</v>
      </c>
      <c r="D29" s="28">
        <f t="shared" si="1"/>
        <v>385.97399306481731</v>
      </c>
      <c r="E29" s="28">
        <f t="shared" si="2"/>
        <v>369.39277140570817</v>
      </c>
      <c r="F29" s="28">
        <f t="shared" si="3"/>
        <v>696.41130968258199</v>
      </c>
      <c r="H29" s="49">
        <v>1572</v>
      </c>
      <c r="I29" s="49">
        <f t="shared" si="4"/>
        <v>1576</v>
      </c>
      <c r="J29" s="49">
        <v>419</v>
      </c>
      <c r="K29" s="49">
        <v>401</v>
      </c>
      <c r="L29" s="49">
        <v>756</v>
      </c>
      <c r="M29" s="50">
        <v>7.8821018938383558E-2</v>
      </c>
      <c r="N29" s="51">
        <f t="shared" si="5"/>
        <v>2.5445292620865142E-3</v>
      </c>
      <c r="O29" s="191">
        <f t="shared" si="6"/>
        <v>2.5380710659898478E-4</v>
      </c>
      <c r="P29" s="191">
        <f t="shared" si="7"/>
        <v>2.5416203656591918E-4</v>
      </c>
    </row>
    <row r="30" spans="1:16" x14ac:dyDescent="0.3">
      <c r="A30" s="48" t="s">
        <v>312</v>
      </c>
      <c r="B30" s="47" t="s">
        <v>436</v>
      </c>
      <c r="C30" s="28">
        <f t="shared" si="0"/>
        <v>2921.2845280929973</v>
      </c>
      <c r="D30" s="28">
        <f t="shared" si="1"/>
        <v>2121.686686963742</v>
      </c>
      <c r="E30" s="28">
        <f t="shared" si="2"/>
        <v>327.4898975920288</v>
      </c>
      <c r="F30" s="28">
        <f t="shared" si="3"/>
        <v>472.10794353722667</v>
      </c>
      <c r="H30" s="49">
        <v>3103</v>
      </c>
      <c r="I30" s="49">
        <f t="shared" si="4"/>
        <v>3131</v>
      </c>
      <c r="J30" s="49">
        <v>2274</v>
      </c>
      <c r="K30" s="49">
        <v>351</v>
      </c>
      <c r="L30" s="49">
        <v>506</v>
      </c>
      <c r="M30" s="50">
        <v>6.6980348740658724E-2</v>
      </c>
      <c r="N30" s="51">
        <f t="shared" si="5"/>
        <v>9.0235256203673869E-3</v>
      </c>
      <c r="O30" s="191">
        <f t="shared" si="6"/>
        <v>8.9428297668476533E-4</v>
      </c>
      <c r="P30" s="191">
        <f t="shared" si="7"/>
        <v>8.9870928519908411E-4</v>
      </c>
    </row>
    <row r="31" spans="1:16" x14ac:dyDescent="0.3">
      <c r="A31" s="48" t="s">
        <v>313</v>
      </c>
      <c r="B31" s="71" t="s">
        <v>389</v>
      </c>
      <c r="C31" s="28">
        <f t="shared" si="0"/>
        <v>31728.368579687227</v>
      </c>
      <c r="D31" s="28">
        <f t="shared" si="1"/>
        <v>27411.583738913454</v>
      </c>
      <c r="E31" s="28">
        <f t="shared" si="2"/>
        <v>2383.8245176272944</v>
      </c>
      <c r="F31" s="28">
        <f t="shared" si="3"/>
        <v>1932.9603231464782</v>
      </c>
      <c r="H31" s="72">
        <v>30099</v>
      </c>
      <c r="I31" s="72">
        <f t="shared" si="4"/>
        <v>33075</v>
      </c>
      <c r="J31" s="72">
        <v>28575</v>
      </c>
      <c r="K31" s="72">
        <v>2485</v>
      </c>
      <c r="L31" s="72">
        <v>2015</v>
      </c>
      <c r="M31" s="50">
        <v>4.0714479828050543E-2</v>
      </c>
      <c r="N31" s="51">
        <f t="shared" si="5"/>
        <v>9.8873716734775241E-2</v>
      </c>
      <c r="O31" s="191">
        <f t="shared" si="6"/>
        <v>8.9977324263038564E-3</v>
      </c>
      <c r="P31" s="191">
        <f t="shared" si="7"/>
        <v>9.4731651898576352E-3</v>
      </c>
    </row>
    <row r="32" spans="1:16" x14ac:dyDescent="0.3">
      <c r="A32" s="48" t="s">
        <v>314</v>
      </c>
      <c r="B32" s="47" t="s">
        <v>435</v>
      </c>
      <c r="C32" s="28">
        <f t="shared" si="0"/>
        <v>7796.5102781136638</v>
      </c>
      <c r="D32" s="28">
        <f t="shared" si="1"/>
        <v>4416.3177146311973</v>
      </c>
      <c r="E32" s="28">
        <f t="shared" si="2"/>
        <v>2497.4972793228535</v>
      </c>
      <c r="F32" s="28">
        <f t="shared" si="3"/>
        <v>882.69528415961304</v>
      </c>
      <c r="H32" s="49">
        <v>8205</v>
      </c>
      <c r="I32" s="49">
        <f t="shared" si="4"/>
        <v>8232</v>
      </c>
      <c r="J32" s="49">
        <v>4663</v>
      </c>
      <c r="K32" s="49">
        <v>2637</v>
      </c>
      <c r="L32" s="49">
        <v>932</v>
      </c>
      <c r="M32" s="50">
        <v>5.2902055622732758E-2</v>
      </c>
      <c r="N32" s="51">
        <f t="shared" si="5"/>
        <v>3.2906764168190127E-3</v>
      </c>
      <c r="O32" s="191">
        <f t="shared" si="6"/>
        <v>3.2798833819241985E-4</v>
      </c>
      <c r="P32" s="191">
        <f t="shared" si="7"/>
        <v>3.2858137000557619E-4</v>
      </c>
    </row>
    <row r="33" spans="1:16" x14ac:dyDescent="0.3">
      <c r="A33" s="48" t="s">
        <v>315</v>
      </c>
      <c r="B33" s="47" t="s">
        <v>432</v>
      </c>
      <c r="C33" s="28">
        <f t="shared" si="0"/>
        <v>55621.843565419724</v>
      </c>
      <c r="D33" s="28">
        <f t="shared" si="1"/>
        <v>43176.359635889436</v>
      </c>
      <c r="E33" s="28">
        <f t="shared" si="2"/>
        <v>9850.5050627732744</v>
      </c>
      <c r="F33" s="28">
        <f t="shared" si="3"/>
        <v>2594.9788667570124</v>
      </c>
      <c r="H33" s="49">
        <v>55663</v>
      </c>
      <c r="I33" s="49">
        <f t="shared" si="4"/>
        <v>57680</v>
      </c>
      <c r="J33" s="49">
        <v>44774</v>
      </c>
      <c r="K33" s="49">
        <v>10215</v>
      </c>
      <c r="L33" s="49">
        <v>2691</v>
      </c>
      <c r="M33" s="50">
        <v>3.5682323761793922E-2</v>
      </c>
      <c r="N33" s="51">
        <f t="shared" si="5"/>
        <v>3.6235919731239782E-2</v>
      </c>
      <c r="O33" s="191">
        <f t="shared" si="6"/>
        <v>3.4968793342579755E-3</v>
      </c>
      <c r="P33" s="191">
        <f t="shared" si="7"/>
        <v>3.5658264522386851E-3</v>
      </c>
    </row>
    <row r="34" spans="1:16" x14ac:dyDescent="0.3">
      <c r="A34" s="48" t="s">
        <v>316</v>
      </c>
      <c r="B34" s="71" t="s">
        <v>437</v>
      </c>
      <c r="C34" s="28">
        <f t="shared" ref="C34:C65" si="8">SUM(D34:F34)</f>
        <v>13821.270949720671</v>
      </c>
      <c r="D34" s="28">
        <f t="shared" ref="D34:D65" si="9">J34*(1-$M34)</f>
        <v>11318.304825864732</v>
      </c>
      <c r="E34" s="28">
        <f t="shared" ref="E34:E65" si="10">K34*(1-$M34)</f>
        <v>855.21223107096159</v>
      </c>
      <c r="F34" s="28">
        <f t="shared" ref="F34:F65" si="11">L34*(1-$M34)</f>
        <v>1647.7538927849755</v>
      </c>
      <c r="H34" s="72">
        <v>12539</v>
      </c>
      <c r="I34" s="72">
        <f t="shared" ref="I34:I65" si="12">SUM(J34:L34)</f>
        <v>14335</v>
      </c>
      <c r="J34" s="72">
        <v>11739</v>
      </c>
      <c r="K34" s="72">
        <v>887</v>
      </c>
      <c r="L34" s="72">
        <v>1709</v>
      </c>
      <c r="M34" s="50">
        <v>3.5837394508498766E-2</v>
      </c>
      <c r="N34" s="51">
        <f t="shared" ref="N34:N65" si="13">(I34-H34)/H34</f>
        <v>0.14323311268841216</v>
      </c>
      <c r="O34" s="191">
        <f t="shared" si="6"/>
        <v>1.2528775723753053E-2</v>
      </c>
      <c r="P34" s="191">
        <f t="shared" si="7"/>
        <v>1.3476025234434141E-2</v>
      </c>
    </row>
    <row r="35" spans="1:16" x14ac:dyDescent="0.3">
      <c r="A35" s="48" t="s">
        <v>317</v>
      </c>
      <c r="B35" s="47" t="s">
        <v>435</v>
      </c>
      <c r="C35" s="28">
        <f t="shared" si="8"/>
        <v>3428.0960202147817</v>
      </c>
      <c r="D35" s="28">
        <f t="shared" si="9"/>
        <v>2639.6891977258369</v>
      </c>
      <c r="E35" s="28">
        <f t="shared" si="10"/>
        <v>518.54327226784585</v>
      </c>
      <c r="F35" s="28">
        <f t="shared" si="11"/>
        <v>269.86355022109916</v>
      </c>
      <c r="H35" s="49">
        <v>3569</v>
      </c>
      <c r="I35" s="49">
        <f t="shared" si="12"/>
        <v>3722</v>
      </c>
      <c r="J35" s="49">
        <v>2866</v>
      </c>
      <c r="K35" s="49">
        <v>563</v>
      </c>
      <c r="L35" s="49">
        <v>293</v>
      </c>
      <c r="M35" s="50">
        <v>7.896399241945673E-2</v>
      </c>
      <c r="N35" s="51">
        <f t="shared" si="13"/>
        <v>4.286915102269543E-2</v>
      </c>
      <c r="O35" s="191">
        <f t="shared" si="6"/>
        <v>4.1106931757119826E-3</v>
      </c>
      <c r="P35" s="191">
        <f t="shared" si="7"/>
        <v>4.2063935134499797E-3</v>
      </c>
    </row>
    <row r="36" spans="1:16" x14ac:dyDescent="0.3">
      <c r="A36" s="48" t="s">
        <v>318</v>
      </c>
      <c r="B36" s="47" t="s">
        <v>432</v>
      </c>
      <c r="C36" s="28">
        <f t="shared" si="8"/>
        <v>33084.985228078469</v>
      </c>
      <c r="D36" s="28">
        <f t="shared" si="9"/>
        <v>25184.593181281023</v>
      </c>
      <c r="E36" s="28">
        <f t="shared" si="10"/>
        <v>5087.6419286220753</v>
      </c>
      <c r="F36" s="28">
        <f t="shared" si="11"/>
        <v>2812.7501181753723</v>
      </c>
      <c r="H36" s="49">
        <v>32257</v>
      </c>
      <c r="I36" s="49">
        <f t="shared" si="12"/>
        <v>34570</v>
      </c>
      <c r="J36" s="49">
        <v>26315</v>
      </c>
      <c r="K36" s="49">
        <v>5316</v>
      </c>
      <c r="L36" s="49">
        <v>2939</v>
      </c>
      <c r="M36" s="50">
        <v>4.295674781375558E-2</v>
      </c>
      <c r="N36" s="51">
        <f t="shared" si="13"/>
        <v>7.1705366277087138E-2</v>
      </c>
      <c r="O36" s="191">
        <f t="shared" si="6"/>
        <v>6.6907723459647094E-3</v>
      </c>
      <c r="P36" s="191">
        <f t="shared" si="7"/>
        <v>6.9491520753244274E-3</v>
      </c>
    </row>
    <row r="37" spans="1:16" x14ac:dyDescent="0.3">
      <c r="A37" s="57" t="s">
        <v>319</v>
      </c>
      <c r="B37" s="52" t="s">
        <v>393</v>
      </c>
      <c r="C37" s="28">
        <f t="shared" si="8"/>
        <v>3983.0838912957861</v>
      </c>
      <c r="D37" s="28">
        <f t="shared" si="9"/>
        <v>3352.5777865301302</v>
      </c>
      <c r="E37" s="28">
        <f t="shared" si="10"/>
        <v>183.97203623473808</v>
      </c>
      <c r="F37" s="28">
        <f t="shared" si="11"/>
        <v>446.53406853091769</v>
      </c>
      <c r="H37" s="54">
        <v>4294</v>
      </c>
      <c r="I37" s="54">
        <f t="shared" si="12"/>
        <v>4460</v>
      </c>
      <c r="J37" s="54">
        <v>3754</v>
      </c>
      <c r="K37" s="54">
        <v>206</v>
      </c>
      <c r="L37" s="54">
        <v>500</v>
      </c>
      <c r="M37" s="55">
        <v>0.10693186293816459</v>
      </c>
      <c r="N37" s="51">
        <f t="shared" si="13"/>
        <v>3.8658593386120169E-2</v>
      </c>
      <c r="O37" s="191">
        <f t="shared" si="6"/>
        <v>3.7219730941704041E-3</v>
      </c>
      <c r="P37" s="191">
        <f t="shared" si="7"/>
        <v>3.8002092108555541E-3</v>
      </c>
    </row>
    <row r="38" spans="1:16" x14ac:dyDescent="0.3">
      <c r="A38" s="57" t="s">
        <v>320</v>
      </c>
      <c r="B38" s="56" t="s">
        <v>434</v>
      </c>
      <c r="C38" s="28">
        <f t="shared" si="8"/>
        <v>7230.2092535335678</v>
      </c>
      <c r="D38" s="28">
        <f t="shared" si="9"/>
        <v>5431.7706492932857</v>
      </c>
      <c r="E38" s="28">
        <f t="shared" si="10"/>
        <v>1268.4413648409893</v>
      </c>
      <c r="F38" s="28">
        <f t="shared" si="11"/>
        <v>529.99723939929322</v>
      </c>
      <c r="H38" s="58">
        <v>7551</v>
      </c>
      <c r="I38" s="58">
        <f t="shared" si="12"/>
        <v>7735</v>
      </c>
      <c r="J38" s="58">
        <v>5811</v>
      </c>
      <c r="K38" s="58">
        <v>1357</v>
      </c>
      <c r="L38" s="58">
        <v>567</v>
      </c>
      <c r="M38" s="59">
        <v>6.5260600706713801E-2</v>
      </c>
      <c r="N38" s="51">
        <f t="shared" si="13"/>
        <v>2.4367633426036286E-2</v>
      </c>
      <c r="O38" s="191">
        <f t="shared" si="6"/>
        <v>2.3787976729153205E-3</v>
      </c>
      <c r="P38" s="191">
        <f t="shared" si="7"/>
        <v>2.4104483910756258E-3</v>
      </c>
    </row>
    <row r="39" spans="1:16" x14ac:dyDescent="0.3">
      <c r="A39" s="71" t="s">
        <v>321</v>
      </c>
      <c r="B39" s="60" t="s">
        <v>435</v>
      </c>
      <c r="C39" s="28">
        <f t="shared" si="8"/>
        <v>3772</v>
      </c>
      <c r="D39" s="28">
        <f t="shared" si="9"/>
        <v>3605.3728155339804</v>
      </c>
      <c r="E39" s="28">
        <f t="shared" si="10"/>
        <v>122.68155339805824</v>
      </c>
      <c r="F39" s="28">
        <f t="shared" si="11"/>
        <v>43.945631067961159</v>
      </c>
      <c r="H39" s="49">
        <v>3912</v>
      </c>
      <c r="I39" s="49">
        <f t="shared" si="12"/>
        <v>4120</v>
      </c>
      <c r="J39" s="49">
        <v>3938</v>
      </c>
      <c r="K39" s="49">
        <v>134</v>
      </c>
      <c r="L39" s="49">
        <v>48</v>
      </c>
      <c r="M39" s="50">
        <v>8.4466019417475779E-2</v>
      </c>
      <c r="N39" s="51">
        <f t="shared" si="13"/>
        <v>5.3169734151329244E-2</v>
      </c>
      <c r="O39" s="191">
        <f t="shared" si="6"/>
        <v>5.0485436893203889E-3</v>
      </c>
      <c r="P39" s="191">
        <f t="shared" si="7"/>
        <v>5.1938828052440211E-3</v>
      </c>
    </row>
    <row r="40" spans="1:16" ht="15" thickBot="1" x14ac:dyDescent="0.35">
      <c r="A40" s="62" t="s">
        <v>322</v>
      </c>
      <c r="B40" s="61" t="s">
        <v>434</v>
      </c>
      <c r="C40" s="28">
        <f t="shared" si="8"/>
        <v>8207.1053049870843</v>
      </c>
      <c r="D40" s="28">
        <f t="shared" si="9"/>
        <v>7270.8692628650906</v>
      </c>
      <c r="E40" s="28">
        <f t="shared" si="10"/>
        <v>290.45877210411288</v>
      </c>
      <c r="F40" s="28">
        <f t="shared" si="11"/>
        <v>645.77727001788196</v>
      </c>
      <c r="H40" s="63">
        <v>8593</v>
      </c>
      <c r="I40" s="63">
        <f t="shared" si="12"/>
        <v>8731</v>
      </c>
      <c r="J40" s="63">
        <v>7735</v>
      </c>
      <c r="K40" s="63">
        <v>309</v>
      </c>
      <c r="L40" s="63">
        <v>687</v>
      </c>
      <c r="M40" s="64">
        <v>6.0003973773097519E-2</v>
      </c>
      <c r="N40" s="51">
        <f t="shared" si="13"/>
        <v>1.6059583381822413E-2</v>
      </c>
      <c r="O40" s="191">
        <f t="shared" si="6"/>
        <v>1.5805749627763144E-3</v>
      </c>
      <c r="P40" s="191">
        <f t="shared" si="7"/>
        <v>1.5944690659503991E-3</v>
      </c>
    </row>
    <row r="41" spans="1:16" x14ac:dyDescent="0.3">
      <c r="A41" s="48" t="s">
        <v>323</v>
      </c>
      <c r="B41" s="47" t="s">
        <v>436</v>
      </c>
      <c r="C41" s="28">
        <f t="shared" si="8"/>
        <v>3295.9506705719132</v>
      </c>
      <c r="D41" s="28">
        <f t="shared" si="9"/>
        <v>2448.2096500693697</v>
      </c>
      <c r="E41" s="28">
        <f t="shared" si="10"/>
        <v>393.89055033143211</v>
      </c>
      <c r="F41" s="28">
        <f t="shared" si="11"/>
        <v>453.85047017111145</v>
      </c>
      <c r="H41" s="49">
        <v>3501</v>
      </c>
      <c r="I41" s="49">
        <f t="shared" si="12"/>
        <v>3573</v>
      </c>
      <c r="J41" s="49">
        <v>2654</v>
      </c>
      <c r="K41" s="49">
        <v>427</v>
      </c>
      <c r="L41" s="49">
        <v>492</v>
      </c>
      <c r="M41" s="50">
        <v>7.753969477416367E-2</v>
      </c>
      <c r="N41" s="51">
        <f t="shared" si="13"/>
        <v>2.056555269922879E-2</v>
      </c>
      <c r="O41" s="191">
        <f t="shared" si="6"/>
        <v>2.0151133501259445E-3</v>
      </c>
      <c r="P41" s="191">
        <f t="shared" si="7"/>
        <v>2.0377671380267248E-3</v>
      </c>
    </row>
    <row r="42" spans="1:16" x14ac:dyDescent="0.3">
      <c r="A42" s="48" t="s">
        <v>324</v>
      </c>
      <c r="B42" s="47" t="s">
        <v>432</v>
      </c>
      <c r="C42" s="28">
        <f t="shared" si="8"/>
        <v>26407.508544418859</v>
      </c>
      <c r="D42" s="28">
        <f t="shared" si="9"/>
        <v>21782.235547206401</v>
      </c>
      <c r="E42" s="28">
        <f t="shared" si="10"/>
        <v>3060.984426130166</v>
      </c>
      <c r="F42" s="28">
        <f t="shared" si="11"/>
        <v>1564.2885710822932</v>
      </c>
      <c r="H42" s="49">
        <v>25511</v>
      </c>
      <c r="I42" s="49">
        <f t="shared" si="12"/>
        <v>27348</v>
      </c>
      <c r="J42" s="49">
        <v>22558</v>
      </c>
      <c r="K42" s="49">
        <v>3170</v>
      </c>
      <c r="L42" s="49">
        <v>1620</v>
      </c>
      <c r="M42" s="50">
        <v>3.4389770936856134E-2</v>
      </c>
      <c r="N42" s="51">
        <f t="shared" si="13"/>
        <v>7.2008153345615611E-2</v>
      </c>
      <c r="O42" s="191">
        <f t="shared" si="6"/>
        <v>6.7171273950563121E-3</v>
      </c>
      <c r="P42" s="191">
        <f t="shared" si="7"/>
        <v>6.9775976197130607E-3</v>
      </c>
    </row>
    <row r="43" spans="1:16" x14ac:dyDescent="0.3">
      <c r="A43" s="74" t="s">
        <v>325</v>
      </c>
      <c r="B43" s="71" t="s">
        <v>437</v>
      </c>
      <c r="C43" s="28">
        <f t="shared" si="8"/>
        <v>9786.5560204953035</v>
      </c>
      <c r="D43" s="28">
        <f t="shared" si="9"/>
        <v>9003.9362083689157</v>
      </c>
      <c r="E43" s="28">
        <f t="shared" si="10"/>
        <v>534.12374039282668</v>
      </c>
      <c r="F43" s="28">
        <f t="shared" si="11"/>
        <v>248.49607173356105</v>
      </c>
      <c r="H43" s="49">
        <v>10149</v>
      </c>
      <c r="I43" s="49">
        <f t="shared" si="12"/>
        <v>10279</v>
      </c>
      <c r="J43" s="49">
        <v>9457</v>
      </c>
      <c r="K43" s="49">
        <v>561</v>
      </c>
      <c r="L43" s="49">
        <v>261</v>
      </c>
      <c r="M43" s="50">
        <v>4.7907771135781374E-2</v>
      </c>
      <c r="N43" s="51">
        <f t="shared" si="13"/>
        <v>1.2809143758005714E-2</v>
      </c>
      <c r="O43" s="191">
        <f t="shared" si="6"/>
        <v>1.2647144663877809E-3</v>
      </c>
      <c r="P43" s="191">
        <f t="shared" si="7"/>
        <v>1.2735903846998742E-3</v>
      </c>
    </row>
    <row r="44" spans="1:16" x14ac:dyDescent="0.3">
      <c r="A44" s="74" t="s">
        <v>326</v>
      </c>
      <c r="B44" s="71" t="s">
        <v>437</v>
      </c>
      <c r="C44" s="28">
        <f t="shared" si="8"/>
        <v>2914.2247191011234</v>
      </c>
      <c r="D44" s="28">
        <f t="shared" si="9"/>
        <v>2898.5617977528091</v>
      </c>
      <c r="E44" s="28">
        <f t="shared" si="10"/>
        <v>11.977528089887642</v>
      </c>
      <c r="F44" s="28">
        <f t="shared" si="11"/>
        <v>3.6853932584269664</v>
      </c>
      <c r="H44" s="72">
        <v>2960</v>
      </c>
      <c r="I44" s="72">
        <f t="shared" si="12"/>
        <v>3163</v>
      </c>
      <c r="J44" s="72">
        <v>3146</v>
      </c>
      <c r="K44" s="72">
        <v>13</v>
      </c>
      <c r="L44" s="72">
        <v>4</v>
      </c>
      <c r="M44" s="50">
        <v>7.8651685393258397E-2</v>
      </c>
      <c r="N44" s="51">
        <f t="shared" si="13"/>
        <v>6.8581081081081074E-2</v>
      </c>
      <c r="O44" s="191">
        <f t="shared" si="6"/>
        <v>6.417957635156497E-3</v>
      </c>
      <c r="P44" s="191">
        <f t="shared" si="7"/>
        <v>6.6552157777473031E-3</v>
      </c>
    </row>
    <row r="45" spans="1:16" x14ac:dyDescent="0.3">
      <c r="A45" s="74" t="s">
        <v>327</v>
      </c>
      <c r="B45" s="47" t="s">
        <v>437</v>
      </c>
      <c r="C45" s="28">
        <f t="shared" si="8"/>
        <v>10428.336429459518</v>
      </c>
      <c r="D45" s="28">
        <f t="shared" si="9"/>
        <v>7619.3789219629925</v>
      </c>
      <c r="E45" s="28">
        <f t="shared" si="10"/>
        <v>1660.7296131061216</v>
      </c>
      <c r="F45" s="28">
        <f t="shared" si="11"/>
        <v>1148.2278943904046</v>
      </c>
      <c r="H45" s="49">
        <v>10544</v>
      </c>
      <c r="I45" s="49">
        <f t="shared" si="12"/>
        <v>11171</v>
      </c>
      <c r="J45" s="49">
        <v>8162</v>
      </c>
      <c r="K45" s="49">
        <v>1779</v>
      </c>
      <c r="L45" s="49">
        <v>1230</v>
      </c>
      <c r="M45" s="50">
        <v>6.6481386674467902E-2</v>
      </c>
      <c r="N45" s="51">
        <f t="shared" si="13"/>
        <v>5.9465098634294389E-2</v>
      </c>
      <c r="O45" s="191">
        <f t="shared" si="6"/>
        <v>5.612747292095605E-3</v>
      </c>
      <c r="P45" s="191">
        <f t="shared" si="7"/>
        <v>5.7931313419592456E-3</v>
      </c>
    </row>
    <row r="46" spans="1:16" x14ac:dyDescent="0.3">
      <c r="A46" s="48" t="s">
        <v>328</v>
      </c>
      <c r="B46" s="47" t="s">
        <v>434</v>
      </c>
      <c r="C46" s="28">
        <f t="shared" si="8"/>
        <v>12326.47389452997</v>
      </c>
      <c r="D46" s="28">
        <f t="shared" si="9"/>
        <v>8992.2791352767763</v>
      </c>
      <c r="E46" s="28">
        <f t="shared" si="10"/>
        <v>2085.3975106452672</v>
      </c>
      <c r="F46" s="28">
        <f t="shared" si="11"/>
        <v>1248.7972486079266</v>
      </c>
      <c r="H46" s="49">
        <v>12839</v>
      </c>
      <c r="I46" s="49">
        <f t="shared" si="12"/>
        <v>13128</v>
      </c>
      <c r="J46" s="49">
        <v>9577</v>
      </c>
      <c r="K46" s="49">
        <v>2221</v>
      </c>
      <c r="L46" s="49">
        <v>1330</v>
      </c>
      <c r="M46" s="50">
        <v>6.1054700294791986E-2</v>
      </c>
      <c r="N46" s="51">
        <f t="shared" si="13"/>
        <v>2.2509541241529714E-2</v>
      </c>
      <c r="O46" s="191">
        <f t="shared" si="6"/>
        <v>2.2014015843997564E-3</v>
      </c>
      <c r="P46" s="191">
        <f t="shared" si="7"/>
        <v>2.2284733819100122E-3</v>
      </c>
    </row>
    <row r="47" spans="1:16" x14ac:dyDescent="0.3">
      <c r="A47" s="48" t="s">
        <v>329</v>
      </c>
      <c r="B47" s="47" t="s">
        <v>435</v>
      </c>
      <c r="C47" s="28">
        <f t="shared" si="8"/>
        <v>9403.6565420560746</v>
      </c>
      <c r="D47" s="28">
        <f t="shared" si="9"/>
        <v>6758.0389408099682</v>
      </c>
      <c r="E47" s="28">
        <f t="shared" si="10"/>
        <v>1013.0576323987539</v>
      </c>
      <c r="F47" s="28">
        <f t="shared" si="11"/>
        <v>1632.5599688473519</v>
      </c>
      <c r="H47" s="49">
        <v>9991</v>
      </c>
      <c r="I47" s="49">
        <f t="shared" si="12"/>
        <v>10155</v>
      </c>
      <c r="J47" s="49">
        <v>7298</v>
      </c>
      <c r="K47" s="49">
        <v>1094</v>
      </c>
      <c r="L47" s="49">
        <v>1763</v>
      </c>
      <c r="M47" s="50">
        <v>7.3987538940810005E-2</v>
      </c>
      <c r="N47" s="51">
        <f t="shared" si="13"/>
        <v>1.641477329596637E-2</v>
      </c>
      <c r="O47" s="191">
        <f t="shared" si="6"/>
        <v>1.6149679960610539E-3</v>
      </c>
      <c r="P47" s="191">
        <f t="shared" si="7"/>
        <v>1.6294768851736752E-3</v>
      </c>
    </row>
    <row r="48" spans="1:16" x14ac:dyDescent="0.3">
      <c r="A48" s="74" t="s">
        <v>330</v>
      </c>
      <c r="B48" s="47" t="s">
        <v>436</v>
      </c>
      <c r="C48" s="28">
        <f t="shared" si="8"/>
        <v>5121.3671360095859</v>
      </c>
      <c r="D48" s="28">
        <f t="shared" si="9"/>
        <v>4147.3532055122823</v>
      </c>
      <c r="E48" s="28">
        <f t="shared" si="10"/>
        <v>623.52007189934091</v>
      </c>
      <c r="F48" s="28">
        <f t="shared" si="11"/>
        <v>350.49385859796286</v>
      </c>
      <c r="H48" s="49">
        <v>5279</v>
      </c>
      <c r="I48" s="49">
        <f t="shared" si="12"/>
        <v>5421</v>
      </c>
      <c r="J48" s="49">
        <v>4390</v>
      </c>
      <c r="K48" s="49">
        <v>660</v>
      </c>
      <c r="L48" s="49">
        <v>371</v>
      </c>
      <c r="M48" s="50">
        <v>5.5272618334331947E-2</v>
      </c>
      <c r="N48" s="51">
        <f t="shared" si="13"/>
        <v>2.689903390793711E-2</v>
      </c>
      <c r="O48" s="191">
        <f t="shared" si="6"/>
        <v>2.6194429072126917E-3</v>
      </c>
      <c r="P48" s="191">
        <f t="shared" si="7"/>
        <v>2.6578873800220393E-3</v>
      </c>
    </row>
    <row r="49" spans="1:16" x14ac:dyDescent="0.3">
      <c r="A49" s="48" t="s">
        <v>331</v>
      </c>
      <c r="B49" s="47" t="s">
        <v>435</v>
      </c>
      <c r="C49" s="28">
        <f t="shared" si="8"/>
        <v>5608.7954150746782</v>
      </c>
      <c r="D49" s="28">
        <f t="shared" si="9"/>
        <v>5055.8023619312262</v>
      </c>
      <c r="E49" s="28">
        <f t="shared" si="10"/>
        <v>279.782563390066</v>
      </c>
      <c r="F49" s="28">
        <f t="shared" si="11"/>
        <v>273.21048975338658</v>
      </c>
      <c r="H49" s="49">
        <v>5905</v>
      </c>
      <c r="I49" s="49">
        <f t="shared" si="12"/>
        <v>5974</v>
      </c>
      <c r="J49" s="49">
        <v>5385</v>
      </c>
      <c r="K49" s="49">
        <v>298</v>
      </c>
      <c r="L49" s="49">
        <v>291</v>
      </c>
      <c r="M49" s="50">
        <v>6.113233761722825E-2</v>
      </c>
      <c r="N49" s="51">
        <f t="shared" si="13"/>
        <v>1.1685012701100762E-2</v>
      </c>
      <c r="O49" s="191">
        <f t="shared" si="6"/>
        <v>1.1550050217609643E-3</v>
      </c>
      <c r="P49" s="191">
        <f t="shared" si="7"/>
        <v>1.1624020806761948E-3</v>
      </c>
    </row>
    <row r="50" spans="1:16" x14ac:dyDescent="0.3">
      <c r="A50" s="57" t="s">
        <v>332</v>
      </c>
      <c r="B50" s="47" t="s">
        <v>437</v>
      </c>
      <c r="C50" s="28">
        <f t="shared" si="8"/>
        <v>16797.278308321966</v>
      </c>
      <c r="D50" s="28">
        <f t="shared" si="9"/>
        <v>11634.152796725784</v>
      </c>
      <c r="E50" s="28">
        <f t="shared" si="10"/>
        <v>3741.4092769440658</v>
      </c>
      <c r="F50" s="28">
        <f t="shared" si="11"/>
        <v>1421.7162346521147</v>
      </c>
      <c r="H50" s="49">
        <v>16396</v>
      </c>
      <c r="I50" s="49">
        <f t="shared" si="12"/>
        <v>17415</v>
      </c>
      <c r="J50" s="49">
        <v>12062</v>
      </c>
      <c r="K50" s="49">
        <v>3879</v>
      </c>
      <c r="L50" s="49">
        <v>1474</v>
      </c>
      <c r="M50" s="50">
        <v>3.5470668485675261E-2</v>
      </c>
      <c r="N50" s="51">
        <f t="shared" si="13"/>
        <v>6.2149304708465476E-2</v>
      </c>
      <c r="O50" s="191">
        <f t="shared" si="6"/>
        <v>5.8512776342233711E-3</v>
      </c>
      <c r="P50" s="191">
        <f t="shared" si="7"/>
        <v>6.0476638397903848E-3</v>
      </c>
    </row>
    <row r="51" spans="1:16" x14ac:dyDescent="0.3">
      <c r="A51" s="74" t="s">
        <v>333</v>
      </c>
      <c r="B51" s="52" t="s">
        <v>437</v>
      </c>
      <c r="C51" s="28">
        <f t="shared" si="8"/>
        <v>1268.4342199856219</v>
      </c>
      <c r="D51" s="28">
        <f t="shared" si="9"/>
        <v>1224.0575125808771</v>
      </c>
      <c r="E51" s="28">
        <f t="shared" si="10"/>
        <v>35.13156002875629</v>
      </c>
      <c r="F51" s="28">
        <f t="shared" si="11"/>
        <v>9.2451473759884966</v>
      </c>
      <c r="H51" s="54">
        <v>1268</v>
      </c>
      <c r="I51" s="54">
        <f t="shared" si="12"/>
        <v>1372</v>
      </c>
      <c r="J51" s="54">
        <v>1324</v>
      </c>
      <c r="K51" s="54">
        <v>38</v>
      </c>
      <c r="L51" s="54">
        <v>10</v>
      </c>
      <c r="M51" s="55">
        <v>7.5485262401150277E-2</v>
      </c>
      <c r="N51" s="51">
        <f t="shared" si="13"/>
        <v>8.2018927444794956E-2</v>
      </c>
      <c r="O51" s="191">
        <f t="shared" si="6"/>
        <v>7.5801749271137029E-3</v>
      </c>
      <c r="P51" s="191">
        <f t="shared" si="7"/>
        <v>7.9140189283710694E-3</v>
      </c>
    </row>
    <row r="52" spans="1:16" x14ac:dyDescent="0.3">
      <c r="A52" s="57" t="s">
        <v>334</v>
      </c>
      <c r="B52" s="56" t="s">
        <v>434</v>
      </c>
      <c r="C52" s="28">
        <f t="shared" si="8"/>
        <v>4921.919508867667</v>
      </c>
      <c r="D52" s="28">
        <f t="shared" si="9"/>
        <v>3781.6166439290587</v>
      </c>
      <c r="E52" s="28">
        <f t="shared" si="10"/>
        <v>846.50034106412011</v>
      </c>
      <c r="F52" s="28">
        <f t="shared" si="11"/>
        <v>293.80252387448843</v>
      </c>
      <c r="H52" s="58">
        <v>4977</v>
      </c>
      <c r="I52" s="58">
        <f t="shared" si="12"/>
        <v>5076</v>
      </c>
      <c r="J52" s="58">
        <v>3900</v>
      </c>
      <c r="K52" s="58">
        <v>873</v>
      </c>
      <c r="L52" s="58">
        <v>303</v>
      </c>
      <c r="M52" s="59">
        <v>3.0354706684856736E-2</v>
      </c>
      <c r="N52" s="51">
        <f t="shared" si="13"/>
        <v>1.9891500904159132E-2</v>
      </c>
      <c r="O52" s="191">
        <f t="shared" si="6"/>
        <v>1.950354609929078E-3</v>
      </c>
      <c r="P52" s="191">
        <f t="shared" si="7"/>
        <v>1.971565983016621E-3</v>
      </c>
    </row>
    <row r="53" spans="1:16" x14ac:dyDescent="0.3">
      <c r="A53" s="74" t="s">
        <v>335</v>
      </c>
      <c r="B53" s="60" t="s">
        <v>437</v>
      </c>
      <c r="C53" s="28">
        <f t="shared" si="8"/>
        <v>12234.437539273596</v>
      </c>
      <c r="D53" s="28">
        <f t="shared" si="9"/>
        <v>8695.2340077918816</v>
      </c>
      <c r="E53" s="28">
        <f t="shared" si="10"/>
        <v>2706.8441623727535</v>
      </c>
      <c r="F53" s="28">
        <f t="shared" si="11"/>
        <v>832.35936910896066</v>
      </c>
      <c r="H53" s="49">
        <v>10587</v>
      </c>
      <c r="I53" s="49">
        <f t="shared" si="12"/>
        <v>12773</v>
      </c>
      <c r="J53" s="49">
        <v>9078</v>
      </c>
      <c r="K53" s="49">
        <v>2826</v>
      </c>
      <c r="L53" s="49">
        <v>869</v>
      </c>
      <c r="M53" s="50">
        <v>4.2164132210632199E-2</v>
      </c>
      <c r="N53" s="51">
        <f t="shared" si="13"/>
        <v>0.20647964484745443</v>
      </c>
      <c r="O53" s="191">
        <f t="shared" si="6"/>
        <v>1.7114225319032336E-2</v>
      </c>
      <c r="P53" s="191">
        <f t="shared" si="7"/>
        <v>1.8947950024097437E-2</v>
      </c>
    </row>
    <row r="54" spans="1:16" ht="15" thickBot="1" x14ac:dyDescent="0.35">
      <c r="A54" s="74" t="s">
        <v>336</v>
      </c>
      <c r="B54" s="61" t="s">
        <v>437</v>
      </c>
      <c r="C54" s="28">
        <f t="shared" si="8"/>
        <v>17217.961369645691</v>
      </c>
      <c r="D54" s="28">
        <f t="shared" si="9"/>
        <v>9966.4809095716555</v>
      </c>
      <c r="E54" s="28">
        <f t="shared" si="10"/>
        <v>4407.1056319407726</v>
      </c>
      <c r="F54" s="28">
        <f t="shared" si="11"/>
        <v>2844.3748281332628</v>
      </c>
      <c r="H54" s="63">
        <v>17482</v>
      </c>
      <c r="I54" s="63">
        <f t="shared" si="12"/>
        <v>18499</v>
      </c>
      <c r="J54" s="63">
        <v>10708</v>
      </c>
      <c r="K54" s="63">
        <v>4735</v>
      </c>
      <c r="L54" s="63">
        <v>3056</v>
      </c>
      <c r="M54" s="64">
        <v>6.9249074563722868E-2</v>
      </c>
      <c r="N54" s="51">
        <f t="shared" si="13"/>
        <v>5.8174121954009839E-2</v>
      </c>
      <c r="O54" s="191">
        <f t="shared" si="6"/>
        <v>5.4975944645656522E-3</v>
      </c>
      <c r="P54" s="191">
        <f t="shared" si="7"/>
        <v>5.6705064423612228E-3</v>
      </c>
    </row>
    <row r="55" spans="1:16" x14ac:dyDescent="0.3">
      <c r="A55" s="48" t="s">
        <v>281</v>
      </c>
      <c r="B55" s="71" t="s">
        <v>433</v>
      </c>
      <c r="C55" s="28">
        <f t="shared" si="8"/>
        <v>22466.584606459099</v>
      </c>
      <c r="D55" s="28">
        <f t="shared" si="9"/>
        <v>17665.818507058597</v>
      </c>
      <c r="E55" s="28">
        <f t="shared" si="10"/>
        <v>2053.3676271514214</v>
      </c>
      <c r="F55" s="28">
        <f t="shared" si="11"/>
        <v>2747.3984722490814</v>
      </c>
      <c r="H55" s="72">
        <v>23661</v>
      </c>
      <c r="I55" s="72">
        <f t="shared" si="12"/>
        <v>24246</v>
      </c>
      <c r="J55" s="72">
        <v>19065</v>
      </c>
      <c r="K55" s="72">
        <v>2216</v>
      </c>
      <c r="L55" s="72">
        <v>2965</v>
      </c>
      <c r="M55" s="50">
        <v>7.3390059949719588E-2</v>
      </c>
      <c r="N55" s="51">
        <f t="shared" si="13"/>
        <v>2.4724229745150247E-2</v>
      </c>
      <c r="O55" s="191">
        <f t="shared" si="6"/>
        <v>2.4127691165553079E-3</v>
      </c>
      <c r="P55" s="191">
        <f t="shared" si="7"/>
        <v>2.445338198304059E-3</v>
      </c>
    </row>
    <row r="56" spans="1:16" x14ac:dyDescent="0.3">
      <c r="A56" s="48" t="s">
        <v>337</v>
      </c>
      <c r="B56" s="47" t="s">
        <v>432</v>
      </c>
      <c r="C56" s="28">
        <f t="shared" si="8"/>
        <v>12139.392715231788</v>
      </c>
      <c r="D56" s="28">
        <f t="shared" si="9"/>
        <v>10147.390728476821</v>
      </c>
      <c r="E56" s="28">
        <f t="shared" si="10"/>
        <v>1358.7509933774836</v>
      </c>
      <c r="F56" s="28">
        <f t="shared" si="11"/>
        <v>633.2509933774835</v>
      </c>
      <c r="H56" s="49">
        <v>11433</v>
      </c>
      <c r="I56" s="49">
        <f t="shared" si="12"/>
        <v>12633</v>
      </c>
      <c r="J56" s="49">
        <v>10560</v>
      </c>
      <c r="K56" s="49">
        <v>1414</v>
      </c>
      <c r="L56" s="49">
        <v>659</v>
      </c>
      <c r="M56" s="50">
        <v>3.9072847682119161E-2</v>
      </c>
      <c r="N56" s="51">
        <f t="shared" si="13"/>
        <v>0.10495932826029913</v>
      </c>
      <c r="O56" s="191">
        <f t="shared" si="6"/>
        <v>9.4989313702208509E-3</v>
      </c>
      <c r="P56" s="191">
        <f t="shared" si="7"/>
        <v>1.0030827564850187E-2</v>
      </c>
    </row>
    <row r="57" spans="1:16" x14ac:dyDescent="0.3">
      <c r="A57" s="57" t="s">
        <v>338</v>
      </c>
      <c r="B57" s="47" t="s">
        <v>436</v>
      </c>
      <c r="C57" s="28">
        <f t="shared" si="8"/>
        <v>16699.216014119178</v>
      </c>
      <c r="D57" s="28">
        <f t="shared" si="9"/>
        <v>12104.961683154521</v>
      </c>
      <c r="E57" s="28">
        <f t="shared" si="10"/>
        <v>3294.1024569225769</v>
      </c>
      <c r="F57" s="28">
        <f t="shared" si="11"/>
        <v>1300.1518740420788</v>
      </c>
      <c r="H57" s="49">
        <v>17165</v>
      </c>
      <c r="I57" s="49">
        <f t="shared" si="12"/>
        <v>17378</v>
      </c>
      <c r="J57" s="49">
        <v>12597</v>
      </c>
      <c r="K57" s="49">
        <v>3428</v>
      </c>
      <c r="L57" s="49">
        <v>1353</v>
      </c>
      <c r="M57" s="50">
        <v>3.9059960057591381E-2</v>
      </c>
      <c r="N57" s="51">
        <f t="shared" si="13"/>
        <v>1.2408971744829595E-2</v>
      </c>
      <c r="O57" s="191">
        <f t="shared" si="6"/>
        <v>1.2256876510530557E-3</v>
      </c>
      <c r="P57" s="191">
        <f t="shared" si="7"/>
        <v>1.2340219299831201E-3</v>
      </c>
    </row>
    <row r="58" spans="1:16" x14ac:dyDescent="0.3">
      <c r="A58" s="57" t="s">
        <v>339</v>
      </c>
      <c r="B58" s="47" t="s">
        <v>432</v>
      </c>
      <c r="C58" s="28">
        <f t="shared" si="8"/>
        <v>107729.69771108878</v>
      </c>
      <c r="D58" s="28">
        <f t="shared" si="9"/>
        <v>70060.576296105093</v>
      </c>
      <c r="E58" s="28">
        <f t="shared" si="10"/>
        <v>6596.8479352662907</v>
      </c>
      <c r="F58" s="28">
        <f t="shared" si="11"/>
        <v>31072.273479717405</v>
      </c>
      <c r="H58" s="49">
        <v>113346</v>
      </c>
      <c r="I58" s="49">
        <f t="shared" si="12"/>
        <v>114493</v>
      </c>
      <c r="J58" s="49">
        <v>74459</v>
      </c>
      <c r="K58" s="49">
        <v>7011</v>
      </c>
      <c r="L58" s="49">
        <v>33023</v>
      </c>
      <c r="M58" s="50">
        <v>5.9071753634817981E-2</v>
      </c>
      <c r="N58" s="51">
        <f t="shared" si="13"/>
        <v>1.0119457237132321E-2</v>
      </c>
      <c r="O58" s="191">
        <f t="shared" si="6"/>
        <v>1.0018079707929742E-3</v>
      </c>
      <c r="P58" s="191">
        <f t="shared" si="7"/>
        <v>1.0073668886769749E-3</v>
      </c>
    </row>
    <row r="59" spans="1:16" x14ac:dyDescent="0.3">
      <c r="A59" s="66" t="s">
        <v>340</v>
      </c>
      <c r="B59" s="65" t="s">
        <v>434</v>
      </c>
      <c r="C59" s="28">
        <f t="shared" si="8"/>
        <v>11781.050422682725</v>
      </c>
      <c r="D59" s="28">
        <f t="shared" si="9"/>
        <v>11438.113712874991</v>
      </c>
      <c r="E59" s="28">
        <f t="shared" si="10"/>
        <v>221.73442058801524</v>
      </c>
      <c r="F59" s="28">
        <f t="shared" si="11"/>
        <v>121.2022892197202</v>
      </c>
      <c r="H59" s="67">
        <v>10819</v>
      </c>
      <c r="I59" s="67">
        <f t="shared" si="12"/>
        <v>12539</v>
      </c>
      <c r="J59" s="67">
        <v>12174</v>
      </c>
      <c r="K59" s="67">
        <v>236</v>
      </c>
      <c r="L59" s="67">
        <v>129</v>
      </c>
      <c r="M59" s="68">
        <v>6.0447370389765887E-2</v>
      </c>
      <c r="N59" s="69">
        <f t="shared" si="13"/>
        <v>0.15897957297347259</v>
      </c>
      <c r="O59" s="191">
        <f t="shared" si="6"/>
        <v>1.3717202328734348E-2</v>
      </c>
      <c r="P59" s="191">
        <f t="shared" si="7"/>
        <v>1.4863371374973511E-2</v>
      </c>
    </row>
    <row r="60" spans="1:16" x14ac:dyDescent="0.3">
      <c r="A60" s="71" t="s">
        <v>341</v>
      </c>
      <c r="B60" s="47" t="s">
        <v>434</v>
      </c>
      <c r="C60" s="28">
        <f t="shared" si="8"/>
        <v>6539.5885460105646</v>
      </c>
      <c r="D60" s="28">
        <f t="shared" si="9"/>
        <v>6353.9129830414231</v>
      </c>
      <c r="E60" s="28">
        <f t="shared" si="10"/>
        <v>175.20155685293301</v>
      </c>
      <c r="F60" s="28">
        <f t="shared" si="11"/>
        <v>10.474006116207951</v>
      </c>
      <c r="H60" s="49">
        <v>6542</v>
      </c>
      <c r="I60" s="49">
        <f t="shared" si="12"/>
        <v>6868</v>
      </c>
      <c r="J60" s="49">
        <v>6673</v>
      </c>
      <c r="K60" s="49">
        <v>184</v>
      </c>
      <c r="L60" s="49">
        <v>11</v>
      </c>
      <c r="M60" s="50">
        <v>4.7817625799277175E-2</v>
      </c>
      <c r="N60" s="51">
        <f t="shared" si="13"/>
        <v>4.9831855701620298E-2</v>
      </c>
      <c r="O60" s="191">
        <f t="shared" si="6"/>
        <v>4.7466511357018059E-3</v>
      </c>
      <c r="P60" s="191">
        <f t="shared" si="7"/>
        <v>4.8748449738416078E-3</v>
      </c>
    </row>
    <row r="61" spans="1:16" x14ac:dyDescent="0.3">
      <c r="A61" s="71" t="s">
        <v>342</v>
      </c>
      <c r="B61" s="47" t="s">
        <v>435</v>
      </c>
      <c r="C61" s="28">
        <f t="shared" si="8"/>
        <v>11529.902180642499</v>
      </c>
      <c r="D61" s="28">
        <f t="shared" si="9"/>
        <v>9818.1507876453197</v>
      </c>
      <c r="E61" s="28">
        <f t="shared" si="10"/>
        <v>906.61181811928191</v>
      </c>
      <c r="F61" s="28">
        <f t="shared" si="11"/>
        <v>805.13957487789776</v>
      </c>
      <c r="H61" s="49">
        <v>12084</v>
      </c>
      <c r="I61" s="49">
        <f t="shared" si="12"/>
        <v>12158</v>
      </c>
      <c r="J61" s="49">
        <v>10353</v>
      </c>
      <c r="K61" s="49">
        <v>956</v>
      </c>
      <c r="L61" s="49">
        <v>849</v>
      </c>
      <c r="M61" s="50">
        <v>5.1661278117905995E-2</v>
      </c>
      <c r="N61" s="51">
        <f t="shared" si="13"/>
        <v>6.1238000662032438E-3</v>
      </c>
      <c r="O61" s="191">
        <f t="shared" si="6"/>
        <v>6.0865273893732528E-4</v>
      </c>
      <c r="P61" s="191">
        <f t="shared" si="7"/>
        <v>6.1069898094712194E-4</v>
      </c>
    </row>
    <row r="62" spans="1:16" x14ac:dyDescent="0.3">
      <c r="A62" s="74" t="s">
        <v>343</v>
      </c>
      <c r="B62" s="60" t="s">
        <v>437</v>
      </c>
      <c r="C62" s="28">
        <f t="shared" si="8"/>
        <v>18499.246140243486</v>
      </c>
      <c r="D62" s="28">
        <f t="shared" si="9"/>
        <v>15520.284975855267</v>
      </c>
      <c r="E62" s="28">
        <f t="shared" si="10"/>
        <v>1154.802557301231</v>
      </c>
      <c r="F62" s="28">
        <f t="shared" si="11"/>
        <v>1824.1586070869892</v>
      </c>
      <c r="G62" s="28"/>
      <c r="H62" s="49">
        <v>19394</v>
      </c>
      <c r="I62" s="49">
        <f t="shared" si="12"/>
        <v>19816</v>
      </c>
      <c r="J62" s="49">
        <v>16625</v>
      </c>
      <c r="K62" s="49">
        <v>1237</v>
      </c>
      <c r="L62" s="49">
        <v>1954</v>
      </c>
      <c r="M62" s="50">
        <v>6.644902400870567E-2</v>
      </c>
      <c r="N62" s="51">
        <f t="shared" si="13"/>
        <v>2.1759307002165617E-2</v>
      </c>
      <c r="O62" s="191">
        <f t="shared" si="6"/>
        <v>2.1295922486879292E-3</v>
      </c>
      <c r="P62" s="191">
        <f t="shared" si="7"/>
        <v>2.1549137268799257E-3</v>
      </c>
    </row>
    <row r="63" spans="1:16" ht="15" thickBot="1" x14ac:dyDescent="0.35">
      <c r="A63" s="62" t="s">
        <v>344</v>
      </c>
      <c r="B63" s="61" t="s">
        <v>393</v>
      </c>
      <c r="C63" s="28">
        <f t="shared" si="8"/>
        <v>19498.497286838006</v>
      </c>
      <c r="D63" s="28">
        <f t="shared" si="9"/>
        <v>16236.284187944306</v>
      </c>
      <c r="E63" s="28">
        <f t="shared" si="10"/>
        <v>1750.0768098262733</v>
      </c>
      <c r="F63" s="28">
        <f t="shared" si="11"/>
        <v>1512.1362890674293</v>
      </c>
      <c r="H63" s="63">
        <v>19473</v>
      </c>
      <c r="I63" s="63">
        <f t="shared" si="12"/>
        <v>20077</v>
      </c>
      <c r="J63" s="63">
        <v>16718</v>
      </c>
      <c r="K63" s="63">
        <v>1802</v>
      </c>
      <c r="L63" s="63">
        <v>1557</v>
      </c>
      <c r="M63" s="64">
        <v>2.8814200984309979E-2</v>
      </c>
      <c r="N63" s="51">
        <f t="shared" si="13"/>
        <v>3.1017306013454527E-2</v>
      </c>
      <c r="O63" s="191">
        <f t="shared" si="6"/>
        <v>3.0084175922697617E-3</v>
      </c>
      <c r="P63" s="191">
        <f t="shared" si="7"/>
        <v>3.0592690967181646E-3</v>
      </c>
    </row>
    <row r="64" spans="1:16" x14ac:dyDescent="0.3">
      <c r="A64" s="48" t="s">
        <v>345</v>
      </c>
      <c r="B64" s="47" t="s">
        <v>432</v>
      </c>
      <c r="C64" s="28">
        <f t="shared" si="8"/>
        <v>3828.9720419370942</v>
      </c>
      <c r="D64" s="28">
        <f t="shared" si="9"/>
        <v>3635.914628057913</v>
      </c>
      <c r="E64" s="28">
        <f t="shared" si="10"/>
        <v>67.27758362456315</v>
      </c>
      <c r="F64" s="28">
        <f t="shared" si="11"/>
        <v>125.77983025461808</v>
      </c>
      <c r="H64" s="49">
        <v>3845</v>
      </c>
      <c r="I64" s="49">
        <f t="shared" si="12"/>
        <v>3927</v>
      </c>
      <c r="J64" s="49">
        <v>3729</v>
      </c>
      <c r="K64" s="49">
        <v>69</v>
      </c>
      <c r="L64" s="49">
        <v>129</v>
      </c>
      <c r="M64" s="50">
        <v>2.4962556165751382E-2</v>
      </c>
      <c r="N64" s="51">
        <f t="shared" si="13"/>
        <v>2.1326397919375812E-2</v>
      </c>
      <c r="O64" s="191">
        <f t="shared" si="6"/>
        <v>2.0881079704609118E-3</v>
      </c>
      <c r="P64" s="191">
        <f t="shared" si="7"/>
        <v>2.1124453392422637E-3</v>
      </c>
    </row>
    <row r="65" spans="1:16" x14ac:dyDescent="0.3">
      <c r="A65" s="48" t="s">
        <v>346</v>
      </c>
      <c r="B65" s="47" t="s">
        <v>434</v>
      </c>
      <c r="C65" s="28">
        <f t="shared" si="8"/>
        <v>5936.8652531733851</v>
      </c>
      <c r="D65" s="28">
        <f t="shared" si="9"/>
        <v>4864.1696191937508</v>
      </c>
      <c r="E65" s="28">
        <f t="shared" si="10"/>
        <v>592.6282605663273</v>
      </c>
      <c r="F65" s="28">
        <f t="shared" si="11"/>
        <v>480.06737341330734</v>
      </c>
      <c r="H65" s="49">
        <v>6160</v>
      </c>
      <c r="I65" s="49">
        <f t="shared" si="12"/>
        <v>6171</v>
      </c>
      <c r="J65" s="49">
        <v>5056</v>
      </c>
      <c r="K65" s="49">
        <v>616</v>
      </c>
      <c r="L65" s="49">
        <v>499</v>
      </c>
      <c r="M65" s="50">
        <v>3.794113544427391E-2</v>
      </c>
      <c r="N65" s="51">
        <f t="shared" si="13"/>
        <v>1.7857142857142857E-3</v>
      </c>
      <c r="O65" s="191">
        <f t="shared" si="6"/>
        <v>1.7825311942959004E-4</v>
      </c>
      <c r="P65" s="191">
        <f t="shared" si="7"/>
        <v>1.7842809574952767E-4</v>
      </c>
    </row>
    <row r="66" spans="1:16" x14ac:dyDescent="0.3">
      <c r="A66" s="48" t="s">
        <v>347</v>
      </c>
      <c r="B66" s="47" t="s">
        <v>434</v>
      </c>
      <c r="C66" s="28">
        <f t="shared" ref="C66:C97" si="14">SUM(D66:F66)</f>
        <v>18082.867091295117</v>
      </c>
      <c r="D66" s="28">
        <f t="shared" ref="D66:D97" si="15">J66*(1-$M66)</f>
        <v>15664.326114649682</v>
      </c>
      <c r="E66" s="28">
        <f t="shared" ref="E66:E97" si="16">K66*(1-$M66)</f>
        <v>1243.740127388535</v>
      </c>
      <c r="F66" s="28">
        <f t="shared" ref="F66:F97" si="17">L66*(1-$M66)</f>
        <v>1174.8008492569002</v>
      </c>
      <c r="H66" s="49">
        <v>17455</v>
      </c>
      <c r="I66" s="49">
        <f t="shared" ref="I66:I97" si="18">SUM(J66:L66)</f>
        <v>19148</v>
      </c>
      <c r="J66" s="49">
        <v>16587</v>
      </c>
      <c r="K66" s="49">
        <v>1317</v>
      </c>
      <c r="L66" s="49">
        <v>1244</v>
      </c>
      <c r="M66" s="50">
        <v>5.5626326963906569E-2</v>
      </c>
      <c r="N66" s="51">
        <f t="shared" ref="N66:N97" si="19">(I66-H66)/H66</f>
        <v>9.6992265826410767E-2</v>
      </c>
      <c r="O66" s="191">
        <f t="shared" si="6"/>
        <v>8.8416544808857331E-3</v>
      </c>
      <c r="P66" s="191">
        <f t="shared" si="7"/>
        <v>9.3001936187304679E-3</v>
      </c>
    </row>
    <row r="67" spans="1:16" x14ac:dyDescent="0.3">
      <c r="A67" s="74" t="s">
        <v>348</v>
      </c>
      <c r="B67" s="47" t="s">
        <v>434</v>
      </c>
      <c r="C67" s="28">
        <f t="shared" si="14"/>
        <v>10620.040963688121</v>
      </c>
      <c r="D67" s="28">
        <f t="shared" si="15"/>
        <v>8175.8210095119075</v>
      </c>
      <c r="E67" s="28">
        <f t="shared" si="16"/>
        <v>1483.5846698604457</v>
      </c>
      <c r="F67" s="28">
        <f t="shared" si="17"/>
        <v>960.63528431576754</v>
      </c>
      <c r="H67" s="49">
        <v>11128</v>
      </c>
      <c r="I67" s="49">
        <f t="shared" si="18"/>
        <v>11210</v>
      </c>
      <c r="J67" s="49">
        <v>8630</v>
      </c>
      <c r="K67" s="49">
        <v>1566</v>
      </c>
      <c r="L67" s="49">
        <v>1014</v>
      </c>
      <c r="M67" s="50">
        <v>5.2627924737901788E-2</v>
      </c>
      <c r="N67" s="51">
        <f t="shared" si="19"/>
        <v>7.368799424874191E-3</v>
      </c>
      <c r="O67" s="191">
        <f t="shared" ref="O67:O118" si="20">MAX(0.1*(I67-H67)/I67,0)</f>
        <v>7.3148974130240866E-4</v>
      </c>
      <c r="P67" s="191">
        <f t="shared" ref="P67:P118" si="21">MAX(($I67/$H67)^0.1-1,0)</f>
        <v>7.3444782110931861E-4</v>
      </c>
    </row>
    <row r="68" spans="1:16" x14ac:dyDescent="0.3">
      <c r="A68" s="48" t="s">
        <v>349</v>
      </c>
      <c r="B68" s="47" t="s">
        <v>432</v>
      </c>
      <c r="C68" s="28">
        <f t="shared" si="14"/>
        <v>20673.675687014893</v>
      </c>
      <c r="D68" s="28">
        <f t="shared" si="15"/>
        <v>16502.871827144954</v>
      </c>
      <c r="E68" s="28">
        <f t="shared" si="16"/>
        <v>2625.9556674358437</v>
      </c>
      <c r="F68" s="28">
        <f t="shared" si="17"/>
        <v>1544.8481924340956</v>
      </c>
      <c r="H68" s="49">
        <v>20950</v>
      </c>
      <c r="I68" s="49">
        <f t="shared" si="18"/>
        <v>21666</v>
      </c>
      <c r="J68" s="49">
        <v>17295</v>
      </c>
      <c r="K68" s="49">
        <v>2752</v>
      </c>
      <c r="L68" s="49">
        <v>1619</v>
      </c>
      <c r="M68" s="50">
        <v>4.5800992937556795E-2</v>
      </c>
      <c r="N68" s="51">
        <f t="shared" si="19"/>
        <v>3.4176610978520289E-2</v>
      </c>
      <c r="O68" s="191">
        <f t="shared" si="20"/>
        <v>3.3047170682174842E-3</v>
      </c>
      <c r="P68" s="191">
        <f t="shared" si="21"/>
        <v>3.3662095162054761E-3</v>
      </c>
    </row>
    <row r="69" spans="1:16" x14ac:dyDescent="0.3">
      <c r="A69" s="48" t="s">
        <v>350</v>
      </c>
      <c r="B69" s="47" t="s">
        <v>435</v>
      </c>
      <c r="C69" s="28">
        <f t="shared" si="14"/>
        <v>1475.6645962732919</v>
      </c>
      <c r="D69" s="28">
        <f t="shared" si="15"/>
        <v>1437.1211180124224</v>
      </c>
      <c r="E69" s="28">
        <f t="shared" si="16"/>
        <v>0</v>
      </c>
      <c r="F69" s="28">
        <f t="shared" si="17"/>
        <v>38.543478260869563</v>
      </c>
      <c r="H69" s="49">
        <v>1571</v>
      </c>
      <c r="I69" s="49">
        <f t="shared" si="18"/>
        <v>1608</v>
      </c>
      <c r="J69" s="49">
        <v>1566</v>
      </c>
      <c r="K69" s="49">
        <v>0</v>
      </c>
      <c r="L69" s="49">
        <v>42</v>
      </c>
      <c r="M69" s="50">
        <v>8.2298136645962749E-2</v>
      </c>
      <c r="N69" s="51">
        <f t="shared" si="19"/>
        <v>2.3551877784850413E-2</v>
      </c>
      <c r="O69" s="191">
        <f t="shared" si="20"/>
        <v>2.3009950248756221E-3</v>
      </c>
      <c r="P69" s="191">
        <f t="shared" si="21"/>
        <v>2.3305927673500371E-3</v>
      </c>
    </row>
    <row r="70" spans="1:16" x14ac:dyDescent="0.3">
      <c r="A70" s="48" t="s">
        <v>351</v>
      </c>
      <c r="B70" s="47" t="s">
        <v>435</v>
      </c>
      <c r="C70" s="28">
        <f t="shared" si="14"/>
        <v>19231.37007699376</v>
      </c>
      <c r="D70" s="28">
        <f t="shared" si="15"/>
        <v>13466.469630239853</v>
      </c>
      <c r="E70" s="28">
        <f t="shared" si="16"/>
        <v>3908.8462659611546</v>
      </c>
      <c r="F70" s="28">
        <f t="shared" si="17"/>
        <v>1856.0541807927505</v>
      </c>
      <c r="H70" s="49">
        <v>19882</v>
      </c>
      <c r="I70" s="49">
        <f t="shared" si="18"/>
        <v>20039</v>
      </c>
      <c r="J70" s="49">
        <v>14032</v>
      </c>
      <c r="K70" s="49">
        <v>4073</v>
      </c>
      <c r="L70" s="49">
        <v>1934</v>
      </c>
      <c r="M70" s="50">
        <v>4.0302905484617124E-2</v>
      </c>
      <c r="N70" s="51">
        <f t="shared" si="19"/>
        <v>7.8965898802937327E-3</v>
      </c>
      <c r="O70" s="191">
        <f t="shared" si="20"/>
        <v>7.8347222915315143E-4</v>
      </c>
      <c r="P70" s="191">
        <f t="shared" si="21"/>
        <v>7.8686691567386724E-4</v>
      </c>
    </row>
    <row r="71" spans="1:16" x14ac:dyDescent="0.3">
      <c r="A71" s="48" t="s">
        <v>352</v>
      </c>
      <c r="B71" s="47" t="s">
        <v>434</v>
      </c>
      <c r="C71" s="28">
        <f t="shared" si="14"/>
        <v>28738.176274143305</v>
      </c>
      <c r="D71" s="28">
        <f t="shared" si="15"/>
        <v>20626.571838006232</v>
      </c>
      <c r="E71" s="28">
        <f t="shared" si="16"/>
        <v>2214.1936697819315</v>
      </c>
      <c r="F71" s="28">
        <f t="shared" si="17"/>
        <v>5897.4107663551404</v>
      </c>
      <c r="H71" s="49">
        <v>30738</v>
      </c>
      <c r="I71" s="49">
        <f t="shared" si="18"/>
        <v>31007</v>
      </c>
      <c r="J71" s="49">
        <v>22255</v>
      </c>
      <c r="K71" s="49">
        <v>2389</v>
      </c>
      <c r="L71" s="49">
        <v>6363</v>
      </c>
      <c r="M71" s="50">
        <v>7.3171339563862903E-2</v>
      </c>
      <c r="N71" s="51">
        <f t="shared" si="19"/>
        <v>8.751382653393194E-3</v>
      </c>
      <c r="O71" s="191">
        <f t="shared" si="20"/>
        <v>8.6754603799142139E-4</v>
      </c>
      <c r="P71" s="191">
        <f t="shared" si="21"/>
        <v>8.7171084536463717E-4</v>
      </c>
    </row>
    <row r="72" spans="1:16" x14ac:dyDescent="0.3">
      <c r="A72" s="74" t="s">
        <v>353</v>
      </c>
      <c r="B72" s="71" t="s">
        <v>389</v>
      </c>
      <c r="C72" s="28">
        <f t="shared" si="14"/>
        <v>4474.045214327657</v>
      </c>
      <c r="D72" s="28">
        <f t="shared" si="15"/>
        <v>4261.039929536113</v>
      </c>
      <c r="E72" s="28">
        <f t="shared" si="16"/>
        <v>189.64944216089253</v>
      </c>
      <c r="F72" s="28">
        <f t="shared" si="17"/>
        <v>23.355842630651789</v>
      </c>
      <c r="H72" s="72">
        <v>3570</v>
      </c>
      <c r="I72" s="72">
        <f t="shared" si="18"/>
        <v>4789</v>
      </c>
      <c r="J72" s="72">
        <v>4561</v>
      </c>
      <c r="K72" s="72">
        <v>203</v>
      </c>
      <c r="L72" s="72">
        <v>25</v>
      </c>
      <c r="M72" s="50">
        <v>6.5766294773928369E-2</v>
      </c>
      <c r="N72" s="51">
        <f t="shared" si="19"/>
        <v>0.34145658263305323</v>
      </c>
      <c r="O72" s="191">
        <f t="shared" si="20"/>
        <v>2.5454165796617249E-2</v>
      </c>
      <c r="P72" s="191">
        <f t="shared" si="21"/>
        <v>2.9811321608247177E-2</v>
      </c>
    </row>
    <row r="73" spans="1:16" x14ac:dyDescent="0.3">
      <c r="A73" s="48" t="s">
        <v>354</v>
      </c>
      <c r="B73" s="47" t="s">
        <v>393</v>
      </c>
      <c r="C73" s="28">
        <f t="shared" si="14"/>
        <v>10717.083786724701</v>
      </c>
      <c r="D73" s="28">
        <f t="shared" si="15"/>
        <v>8010.9529809289279</v>
      </c>
      <c r="E73" s="28">
        <f t="shared" si="16"/>
        <v>1429.3282171696926</v>
      </c>
      <c r="F73" s="28">
        <f t="shared" si="17"/>
        <v>1276.8025886260809</v>
      </c>
      <c r="H73" s="49">
        <v>10318</v>
      </c>
      <c r="I73" s="49">
        <f t="shared" si="18"/>
        <v>11172</v>
      </c>
      <c r="J73" s="49">
        <v>8351</v>
      </c>
      <c r="K73" s="49">
        <v>1490</v>
      </c>
      <c r="L73" s="49">
        <v>1331</v>
      </c>
      <c r="M73" s="50">
        <v>4.0719317335776828E-2</v>
      </c>
      <c r="N73" s="51">
        <f t="shared" si="19"/>
        <v>8.2767978290366348E-2</v>
      </c>
      <c r="O73" s="191">
        <f t="shared" si="20"/>
        <v>7.6441102756892232E-3</v>
      </c>
      <c r="P73" s="191">
        <f t="shared" si="21"/>
        <v>7.9837722145121859E-3</v>
      </c>
    </row>
    <row r="74" spans="1:16" x14ac:dyDescent="0.3">
      <c r="A74" s="48" t="s">
        <v>355</v>
      </c>
      <c r="B74" s="47" t="s">
        <v>436</v>
      </c>
      <c r="C74" s="28">
        <f t="shared" si="14"/>
        <v>809.93340732519425</v>
      </c>
      <c r="D74" s="28">
        <f t="shared" si="15"/>
        <v>772.90788013318536</v>
      </c>
      <c r="E74" s="28">
        <f t="shared" si="16"/>
        <v>15.735849056603774</v>
      </c>
      <c r="F74" s="28">
        <f t="shared" si="17"/>
        <v>21.289678135405104</v>
      </c>
      <c r="H74" s="49">
        <v>858</v>
      </c>
      <c r="I74" s="49">
        <f t="shared" si="18"/>
        <v>875</v>
      </c>
      <c r="J74" s="49">
        <v>835</v>
      </c>
      <c r="K74" s="49">
        <v>17</v>
      </c>
      <c r="L74" s="49">
        <v>23</v>
      </c>
      <c r="M74" s="50">
        <v>7.4361820199777995E-2</v>
      </c>
      <c r="N74" s="51">
        <f t="shared" si="19"/>
        <v>1.9813519813519812E-2</v>
      </c>
      <c r="O74" s="191">
        <f t="shared" si="20"/>
        <v>1.9428571428571431E-3</v>
      </c>
      <c r="P74" s="191">
        <f t="shared" si="21"/>
        <v>1.9639046264940951E-3</v>
      </c>
    </row>
    <row r="75" spans="1:16" x14ac:dyDescent="0.3">
      <c r="A75" s="74" t="s">
        <v>357</v>
      </c>
      <c r="B75" s="47" t="s">
        <v>436</v>
      </c>
      <c r="C75" s="28">
        <f t="shared" si="14"/>
        <v>4645.6338533261614</v>
      </c>
      <c r="D75" s="28">
        <f t="shared" si="15"/>
        <v>4038.3489331181636</v>
      </c>
      <c r="E75" s="28">
        <f t="shared" si="16"/>
        <v>257.6650528958221</v>
      </c>
      <c r="F75" s="28">
        <f t="shared" si="17"/>
        <v>349.61986731217502</v>
      </c>
      <c r="H75" s="49">
        <v>4811</v>
      </c>
      <c r="I75" s="49">
        <f t="shared" si="18"/>
        <v>4850</v>
      </c>
      <c r="J75" s="49">
        <v>4216</v>
      </c>
      <c r="K75" s="49">
        <v>269</v>
      </c>
      <c r="L75" s="49">
        <v>365</v>
      </c>
      <c r="M75" s="50">
        <v>4.2137349829657555E-2</v>
      </c>
      <c r="N75" s="51">
        <f t="shared" si="19"/>
        <v>8.1064227811265856E-3</v>
      </c>
      <c r="O75" s="191">
        <f t="shared" si="20"/>
        <v>8.0412371134020626E-4</v>
      </c>
      <c r="P75" s="191">
        <f t="shared" si="21"/>
        <v>8.0770023750820208E-4</v>
      </c>
    </row>
    <row r="76" spans="1:16" x14ac:dyDescent="0.3">
      <c r="A76" s="74" t="s">
        <v>358</v>
      </c>
      <c r="B76" s="47" t="s">
        <v>435</v>
      </c>
      <c r="C76" s="28">
        <f t="shared" si="14"/>
        <v>10174.900741656365</v>
      </c>
      <c r="D76" s="28">
        <f t="shared" si="15"/>
        <v>8726.0226205191593</v>
      </c>
      <c r="E76" s="28">
        <f t="shared" si="16"/>
        <v>588.60673671199015</v>
      </c>
      <c r="F76" s="28">
        <f t="shared" si="17"/>
        <v>860.2713844252163</v>
      </c>
      <c r="H76" s="49">
        <v>10478</v>
      </c>
      <c r="I76" s="49">
        <f t="shared" si="18"/>
        <v>10562</v>
      </c>
      <c r="J76" s="49">
        <v>9058</v>
      </c>
      <c r="K76" s="49">
        <v>611</v>
      </c>
      <c r="L76" s="49">
        <v>893</v>
      </c>
      <c r="M76" s="50">
        <v>3.6650185414091485E-2</v>
      </c>
      <c r="N76" s="51">
        <f t="shared" si="19"/>
        <v>8.016797098682955E-3</v>
      </c>
      <c r="O76" s="191">
        <f t="shared" si="20"/>
        <v>7.953039197121758E-4</v>
      </c>
      <c r="P76" s="191">
        <f t="shared" si="21"/>
        <v>7.9880220255112988E-4</v>
      </c>
    </row>
    <row r="77" spans="1:16" x14ac:dyDescent="0.3">
      <c r="A77" s="48" t="s">
        <v>359</v>
      </c>
      <c r="B77" s="47" t="s">
        <v>435</v>
      </c>
      <c r="C77" s="28">
        <f t="shared" si="14"/>
        <v>9012.6549669940432</v>
      </c>
      <c r="D77" s="28">
        <f t="shared" si="15"/>
        <v>7955.1827402994686</v>
      </c>
      <c r="E77" s="28">
        <f t="shared" si="16"/>
        <v>511.22202543873772</v>
      </c>
      <c r="F77" s="28">
        <f t="shared" si="17"/>
        <v>546.25020125583649</v>
      </c>
      <c r="H77" s="49">
        <v>9397</v>
      </c>
      <c r="I77" s="49">
        <f t="shared" si="18"/>
        <v>9520</v>
      </c>
      <c r="J77" s="49">
        <v>8403</v>
      </c>
      <c r="K77" s="49">
        <v>540</v>
      </c>
      <c r="L77" s="49">
        <v>577</v>
      </c>
      <c r="M77" s="50">
        <v>5.3292545483819009E-2</v>
      </c>
      <c r="N77" s="51">
        <f t="shared" si="19"/>
        <v>1.3089283813983187E-2</v>
      </c>
      <c r="O77" s="191">
        <f t="shared" si="20"/>
        <v>1.2920168067226891E-3</v>
      </c>
      <c r="P77" s="191">
        <f t="shared" si="21"/>
        <v>1.3012818737063725E-3</v>
      </c>
    </row>
    <row r="78" spans="1:16" x14ac:dyDescent="0.3">
      <c r="A78" s="48" t="s">
        <v>360</v>
      </c>
      <c r="B78" s="71" t="s">
        <v>360</v>
      </c>
      <c r="C78" s="28">
        <f t="shared" si="14"/>
        <v>191308.79397959885</v>
      </c>
      <c r="D78" s="28">
        <f t="shared" si="15"/>
        <v>60732.687054765658</v>
      </c>
      <c r="E78" s="28">
        <f t="shared" si="16"/>
        <v>54934.528921246798</v>
      </c>
      <c r="F78" s="28">
        <f t="shared" si="17"/>
        <v>75641.578003586372</v>
      </c>
      <c r="H78" s="72">
        <v>206049</v>
      </c>
      <c r="I78" s="72">
        <f t="shared" si="18"/>
        <v>207504</v>
      </c>
      <c r="J78" s="72">
        <v>65874</v>
      </c>
      <c r="K78" s="72">
        <v>59585</v>
      </c>
      <c r="L78" s="72">
        <v>82045</v>
      </c>
      <c r="M78" s="50">
        <v>7.8047681106875877E-2</v>
      </c>
      <c r="N78" s="70">
        <f t="shared" si="19"/>
        <v>7.0614271362637046E-3</v>
      </c>
      <c r="O78" s="191">
        <f t="shared" si="20"/>
        <v>7.0119130233634052E-4</v>
      </c>
      <c r="P78" s="191">
        <f t="shared" si="21"/>
        <v>7.0390882875237537E-4</v>
      </c>
    </row>
    <row r="79" spans="1:16" x14ac:dyDescent="0.3">
      <c r="A79" s="48" t="s">
        <v>23</v>
      </c>
      <c r="B79" s="47" t="s">
        <v>437</v>
      </c>
      <c r="C79" s="28">
        <f t="shared" si="14"/>
        <v>224243.94815998012</v>
      </c>
      <c r="D79" s="28">
        <f t="shared" si="15"/>
        <v>170275.73470700151</v>
      </c>
      <c r="E79" s="28">
        <f t="shared" si="16"/>
        <v>31365.393036432928</v>
      </c>
      <c r="F79" s="28">
        <f t="shared" si="17"/>
        <v>22602.820416545659</v>
      </c>
      <c r="H79" s="49">
        <v>229217</v>
      </c>
      <c r="I79" s="49">
        <f t="shared" si="18"/>
        <v>233135</v>
      </c>
      <c r="J79" s="49">
        <v>177027</v>
      </c>
      <c r="K79" s="49">
        <v>32609</v>
      </c>
      <c r="L79" s="49">
        <v>23499</v>
      </c>
      <c r="M79" s="50">
        <v>3.8136924271430339E-2</v>
      </c>
      <c r="N79" s="51">
        <f t="shared" si="19"/>
        <v>1.7092973034286287E-2</v>
      </c>
      <c r="O79" s="191">
        <f t="shared" si="20"/>
        <v>1.6805713427842238E-3</v>
      </c>
      <c r="P79" s="191">
        <f t="shared" si="21"/>
        <v>1.6962902554873427E-3</v>
      </c>
    </row>
    <row r="80" spans="1:16" x14ac:dyDescent="0.3">
      <c r="A80" s="74" t="s">
        <v>361</v>
      </c>
      <c r="B80" s="47" t="s">
        <v>432</v>
      </c>
      <c r="C80" s="28">
        <f t="shared" si="14"/>
        <v>21945.647518382357</v>
      </c>
      <c r="D80" s="28">
        <f t="shared" si="15"/>
        <v>18273.493627450982</v>
      </c>
      <c r="E80" s="28">
        <f t="shared" si="16"/>
        <v>1868.4534620098041</v>
      </c>
      <c r="F80" s="28">
        <f t="shared" si="17"/>
        <v>1803.7004289215686</v>
      </c>
      <c r="H80" s="49">
        <v>23300</v>
      </c>
      <c r="I80" s="49">
        <f t="shared" si="18"/>
        <v>23385</v>
      </c>
      <c r="J80" s="49">
        <v>19472</v>
      </c>
      <c r="K80" s="49">
        <v>1991</v>
      </c>
      <c r="L80" s="49">
        <v>1922</v>
      </c>
      <c r="M80" s="50">
        <v>6.1550245098039191E-2</v>
      </c>
      <c r="N80" s="51">
        <f t="shared" si="19"/>
        <v>3.6480686695278971E-3</v>
      </c>
      <c r="O80" s="191">
        <f t="shared" si="20"/>
        <v>3.6348086380158219E-4</v>
      </c>
      <c r="P80" s="191">
        <f t="shared" si="21"/>
        <v>3.6420936875214416E-4</v>
      </c>
    </row>
    <row r="81" spans="1:16" x14ac:dyDescent="0.3">
      <c r="A81" s="74" t="s">
        <v>285</v>
      </c>
      <c r="B81" s="47" t="s">
        <v>435</v>
      </c>
      <c r="C81" s="28">
        <f t="shared" si="14"/>
        <v>23498.982371413618</v>
      </c>
      <c r="D81" s="28">
        <f t="shared" si="15"/>
        <v>17187.345720131321</v>
      </c>
      <c r="E81" s="28">
        <f t="shared" si="16"/>
        <v>3855.499238711519</v>
      </c>
      <c r="F81" s="28">
        <f t="shared" si="17"/>
        <v>2456.1374125707757</v>
      </c>
      <c r="H81" s="49">
        <v>24721</v>
      </c>
      <c r="I81" s="49">
        <f t="shared" si="18"/>
        <v>25105</v>
      </c>
      <c r="J81" s="49">
        <v>18362</v>
      </c>
      <c r="K81" s="49">
        <v>4119</v>
      </c>
      <c r="L81" s="49">
        <v>2624</v>
      </c>
      <c r="M81" s="50">
        <v>6.397202264833235E-2</v>
      </c>
      <c r="N81" s="51">
        <f t="shared" si="19"/>
        <v>1.553335221067109E-2</v>
      </c>
      <c r="O81" s="191">
        <f t="shared" si="20"/>
        <v>1.5295757817167896E-3</v>
      </c>
      <c r="P81" s="191">
        <f t="shared" si="21"/>
        <v>1.5425830231428073E-3</v>
      </c>
    </row>
    <row r="82" spans="1:16" x14ac:dyDescent="0.3">
      <c r="A82" s="74" t="s">
        <v>362</v>
      </c>
      <c r="B82" s="47" t="s">
        <v>434</v>
      </c>
      <c r="C82" s="28">
        <f t="shared" si="14"/>
        <v>6053.7680385380672</v>
      </c>
      <c r="D82" s="28">
        <f t="shared" si="15"/>
        <v>4115.9191538380983</v>
      </c>
      <c r="E82" s="28">
        <f t="shared" si="16"/>
        <v>470.03948057388209</v>
      </c>
      <c r="F82" s="28">
        <f t="shared" si="17"/>
        <v>1467.8094041260865</v>
      </c>
      <c r="H82" s="49">
        <v>6365</v>
      </c>
      <c r="I82" s="49">
        <f t="shared" si="18"/>
        <v>6401</v>
      </c>
      <c r="J82" s="49">
        <v>4352</v>
      </c>
      <c r="K82" s="49">
        <v>497</v>
      </c>
      <c r="L82" s="49">
        <v>1552</v>
      </c>
      <c r="M82" s="50">
        <v>5.4246517959995799E-2</v>
      </c>
      <c r="N82" s="51">
        <f t="shared" si="19"/>
        <v>5.6559308719560091E-3</v>
      </c>
      <c r="O82" s="191">
        <f t="shared" si="20"/>
        <v>5.6241212310576471E-4</v>
      </c>
      <c r="P82" s="191">
        <f t="shared" si="21"/>
        <v>5.6415869273762631E-4</v>
      </c>
    </row>
    <row r="83" spans="1:16" x14ac:dyDescent="0.3">
      <c r="A83" s="53" t="s">
        <v>363</v>
      </c>
      <c r="B83" s="52" t="s">
        <v>436</v>
      </c>
      <c r="C83" s="28">
        <f t="shared" si="14"/>
        <v>14995.620783843064</v>
      </c>
      <c r="D83" s="28">
        <f t="shared" si="15"/>
        <v>10644.644042544385</v>
      </c>
      <c r="E83" s="28">
        <f t="shared" si="16"/>
        <v>2310.7692339527375</v>
      </c>
      <c r="F83" s="28">
        <f t="shared" si="17"/>
        <v>2040.2075073459421</v>
      </c>
      <c r="H83" s="54">
        <v>15554</v>
      </c>
      <c r="I83" s="54">
        <f t="shared" si="18"/>
        <v>15685</v>
      </c>
      <c r="J83" s="54">
        <v>11134</v>
      </c>
      <c r="K83" s="54">
        <v>2417</v>
      </c>
      <c r="L83" s="54">
        <v>2134</v>
      </c>
      <c r="M83" s="55">
        <v>4.3951496089061792E-2</v>
      </c>
      <c r="N83" s="51">
        <f t="shared" si="19"/>
        <v>8.4222707985084216E-3</v>
      </c>
      <c r="O83" s="191">
        <f t="shared" si="20"/>
        <v>8.3519285941982796E-4</v>
      </c>
      <c r="P83" s="191">
        <f t="shared" si="21"/>
        <v>8.3905194429556573E-4</v>
      </c>
    </row>
    <row r="84" spans="1:16" x14ac:dyDescent="0.3">
      <c r="A84" s="74" t="s">
        <v>364</v>
      </c>
      <c r="B84" s="56" t="s">
        <v>434</v>
      </c>
      <c r="C84" s="28">
        <f t="shared" si="14"/>
        <v>21890.310871335507</v>
      </c>
      <c r="D84" s="28">
        <f t="shared" si="15"/>
        <v>17820.606338219328</v>
      </c>
      <c r="E84" s="28">
        <f t="shared" si="16"/>
        <v>2964.1624592833878</v>
      </c>
      <c r="F84" s="28">
        <f t="shared" si="17"/>
        <v>1105.5420738327905</v>
      </c>
      <c r="H84" s="58">
        <v>20515</v>
      </c>
      <c r="I84" s="58">
        <f t="shared" si="18"/>
        <v>22731</v>
      </c>
      <c r="J84" s="58">
        <v>18505</v>
      </c>
      <c r="K84" s="58">
        <v>3078</v>
      </c>
      <c r="L84" s="58">
        <v>1148</v>
      </c>
      <c r="M84" s="59">
        <v>3.6984256243213887E-2</v>
      </c>
      <c r="N84" s="51">
        <f t="shared" si="19"/>
        <v>0.10801852303192785</v>
      </c>
      <c r="O84" s="191">
        <f t="shared" si="20"/>
        <v>9.7488011966037572E-3</v>
      </c>
      <c r="P84" s="191">
        <f t="shared" si="21"/>
        <v>1.0310117316872036E-2</v>
      </c>
    </row>
    <row r="85" spans="1:16" x14ac:dyDescent="0.3">
      <c r="A85" s="74" t="s">
        <v>21</v>
      </c>
      <c r="B85" s="60" t="s">
        <v>437</v>
      </c>
      <c r="C85" s="28">
        <f t="shared" si="14"/>
        <v>27626.908073901373</v>
      </c>
      <c r="D85" s="28">
        <f t="shared" si="15"/>
        <v>18455.777316275151</v>
      </c>
      <c r="E85" s="28">
        <f t="shared" si="16"/>
        <v>4437.5218549793299</v>
      </c>
      <c r="F85" s="28">
        <f t="shared" si="17"/>
        <v>4733.6089026468917</v>
      </c>
      <c r="H85" s="49">
        <v>28414</v>
      </c>
      <c r="I85" s="49">
        <f t="shared" si="18"/>
        <v>29205</v>
      </c>
      <c r="J85" s="49">
        <v>19510</v>
      </c>
      <c r="K85" s="49">
        <v>4691</v>
      </c>
      <c r="L85" s="49">
        <v>5004</v>
      </c>
      <c r="M85" s="50">
        <v>5.4034991477439731E-2</v>
      </c>
      <c r="N85" s="51">
        <f t="shared" si="19"/>
        <v>2.7838389526289857E-2</v>
      </c>
      <c r="O85" s="191">
        <f t="shared" si="20"/>
        <v>2.7084403355589798E-3</v>
      </c>
      <c r="P85" s="191">
        <f t="shared" si="21"/>
        <v>2.7495677508813099E-3</v>
      </c>
    </row>
    <row r="86" spans="1:16" ht="15" thickBot="1" x14ac:dyDescent="0.35">
      <c r="A86" s="62" t="s">
        <v>365</v>
      </c>
      <c r="B86" s="61" t="s">
        <v>393</v>
      </c>
      <c r="C86" s="28">
        <f t="shared" si="14"/>
        <v>50398.251154759331</v>
      </c>
      <c r="D86" s="28">
        <f t="shared" si="15"/>
        <v>38173.982300884956</v>
      </c>
      <c r="E86" s="28">
        <f t="shared" si="16"/>
        <v>6184.232880063314</v>
      </c>
      <c r="F86" s="28">
        <f t="shared" si="17"/>
        <v>6040.0359738110656</v>
      </c>
      <c r="H86" s="63">
        <v>52324</v>
      </c>
      <c r="I86" s="63">
        <f t="shared" si="18"/>
        <v>52776</v>
      </c>
      <c r="J86" s="63">
        <v>39975</v>
      </c>
      <c r="K86" s="63">
        <v>6476</v>
      </c>
      <c r="L86" s="63">
        <v>6325</v>
      </c>
      <c r="M86" s="64">
        <v>4.5053600978487651E-2</v>
      </c>
      <c r="N86" s="51">
        <f t="shared" si="19"/>
        <v>8.6384832963840689E-3</v>
      </c>
      <c r="O86" s="191">
        <f t="shared" si="20"/>
        <v>8.5644990147036538E-4</v>
      </c>
      <c r="P86" s="191">
        <f t="shared" si="21"/>
        <v>8.6050853467001254E-4</v>
      </c>
    </row>
    <row r="87" spans="1:16" x14ac:dyDescent="0.3">
      <c r="A87" s="48" t="s">
        <v>366</v>
      </c>
      <c r="B87" s="47" t="s">
        <v>437</v>
      </c>
      <c r="C87" s="28">
        <f t="shared" si="14"/>
        <v>10171.80143223411</v>
      </c>
      <c r="D87" s="28">
        <f t="shared" si="15"/>
        <v>9041.9193705242687</v>
      </c>
      <c r="E87" s="28">
        <f t="shared" si="16"/>
        <v>754.84519494297581</v>
      </c>
      <c r="F87" s="28">
        <f t="shared" si="17"/>
        <v>375.03686676686408</v>
      </c>
      <c r="H87" s="49">
        <v>10471</v>
      </c>
      <c r="I87" s="49">
        <f t="shared" si="18"/>
        <v>10659</v>
      </c>
      <c r="J87" s="49">
        <v>9475</v>
      </c>
      <c r="K87" s="49">
        <v>791</v>
      </c>
      <c r="L87" s="49">
        <v>393</v>
      </c>
      <c r="M87" s="50">
        <v>4.5707718150473031E-2</v>
      </c>
      <c r="N87" s="51">
        <f t="shared" si="19"/>
        <v>1.7954350109827141E-2</v>
      </c>
      <c r="O87" s="191">
        <f t="shared" si="20"/>
        <v>1.7637677080401539E-3</v>
      </c>
      <c r="P87" s="191">
        <f t="shared" si="21"/>
        <v>1.7810917031289009E-3</v>
      </c>
    </row>
    <row r="88" spans="1:16" x14ac:dyDescent="0.3">
      <c r="A88" s="48" t="s">
        <v>367</v>
      </c>
      <c r="B88" s="47" t="s">
        <v>436</v>
      </c>
      <c r="C88" s="28">
        <f t="shared" si="14"/>
        <v>3297.3379084967319</v>
      </c>
      <c r="D88" s="28">
        <f t="shared" si="15"/>
        <v>1638.9627450980392</v>
      </c>
      <c r="E88" s="28">
        <f t="shared" si="16"/>
        <v>768.17712418300653</v>
      </c>
      <c r="F88" s="28">
        <f t="shared" si="17"/>
        <v>890.19803921568621</v>
      </c>
      <c r="H88" s="49">
        <v>3513</v>
      </c>
      <c r="I88" s="49">
        <f t="shared" si="18"/>
        <v>3567</v>
      </c>
      <c r="J88" s="49">
        <v>1773</v>
      </c>
      <c r="K88" s="49">
        <v>831</v>
      </c>
      <c r="L88" s="49">
        <v>963</v>
      </c>
      <c r="M88" s="50">
        <v>7.5599128540305038E-2</v>
      </c>
      <c r="N88" s="51">
        <f t="shared" si="19"/>
        <v>1.5371477369769428E-2</v>
      </c>
      <c r="O88" s="191">
        <f t="shared" si="20"/>
        <v>1.5138772077375948E-3</v>
      </c>
      <c r="P88" s="191">
        <f t="shared" si="21"/>
        <v>1.5266174050552195E-3</v>
      </c>
    </row>
    <row r="89" spans="1:16" x14ac:dyDescent="0.3">
      <c r="A89" s="48" t="s">
        <v>368</v>
      </c>
      <c r="B89" s="47" t="s">
        <v>393</v>
      </c>
      <c r="C89" s="28">
        <f t="shared" si="14"/>
        <v>2830.0280453257792</v>
      </c>
      <c r="D89" s="28">
        <f t="shared" si="15"/>
        <v>2134.2609065155807</v>
      </c>
      <c r="E89" s="28">
        <f t="shared" si="16"/>
        <v>328.71643059490088</v>
      </c>
      <c r="F89" s="28">
        <f t="shared" si="17"/>
        <v>367.05070821529745</v>
      </c>
      <c r="H89" s="49">
        <v>2896</v>
      </c>
      <c r="I89" s="49">
        <f t="shared" si="18"/>
        <v>2953</v>
      </c>
      <c r="J89" s="49">
        <v>2227</v>
      </c>
      <c r="K89" s="49">
        <v>343</v>
      </c>
      <c r="L89" s="49">
        <v>383</v>
      </c>
      <c r="M89" s="50">
        <v>4.1643059490084955E-2</v>
      </c>
      <c r="N89" s="51">
        <f t="shared" si="19"/>
        <v>1.9682320441988949E-2</v>
      </c>
      <c r="O89" s="191">
        <f t="shared" si="20"/>
        <v>1.930240433457501E-3</v>
      </c>
      <c r="P89" s="191">
        <f t="shared" si="21"/>
        <v>1.9510135789597705E-3</v>
      </c>
    </row>
    <row r="90" spans="1:16" x14ac:dyDescent="0.3">
      <c r="A90" s="48" t="s">
        <v>299</v>
      </c>
      <c r="B90" s="71" t="s">
        <v>393</v>
      </c>
      <c r="C90" s="28">
        <f t="shared" si="14"/>
        <v>3815.3180786026201</v>
      </c>
      <c r="D90" s="28">
        <f t="shared" si="15"/>
        <v>2809.2450655021835</v>
      </c>
      <c r="E90" s="28">
        <f t="shared" si="16"/>
        <v>514.05834061135374</v>
      </c>
      <c r="F90" s="28">
        <f t="shared" si="17"/>
        <v>492.01467248908301</v>
      </c>
      <c r="H90" s="72">
        <v>4192</v>
      </c>
      <c r="I90" s="72">
        <f t="shared" si="18"/>
        <v>4327</v>
      </c>
      <c r="J90" s="72">
        <v>3186</v>
      </c>
      <c r="K90" s="72">
        <v>583</v>
      </c>
      <c r="L90" s="72">
        <v>558</v>
      </c>
      <c r="M90" s="50">
        <v>0.11825327510917027</v>
      </c>
      <c r="N90" s="51">
        <f t="shared" si="19"/>
        <v>3.2204198473282444E-2</v>
      </c>
      <c r="O90" s="191">
        <f t="shared" si="20"/>
        <v>3.1199445343193899E-3</v>
      </c>
      <c r="P90" s="191">
        <f t="shared" si="21"/>
        <v>3.1746800790963814E-3</v>
      </c>
    </row>
    <row r="91" spans="1:16" x14ac:dyDescent="0.3">
      <c r="A91" s="74" t="s">
        <v>369</v>
      </c>
      <c r="B91" s="47" t="s">
        <v>435</v>
      </c>
      <c r="C91" s="28">
        <f t="shared" si="14"/>
        <v>16591.113402978437</v>
      </c>
      <c r="D91" s="28">
        <f t="shared" si="15"/>
        <v>12548.317937319403</v>
      </c>
      <c r="E91" s="28">
        <f t="shared" si="16"/>
        <v>2717.1479439875529</v>
      </c>
      <c r="F91" s="28">
        <f t="shared" si="17"/>
        <v>1325.6475216714825</v>
      </c>
      <c r="H91" s="49">
        <v>17176</v>
      </c>
      <c r="I91" s="49">
        <f t="shared" si="18"/>
        <v>17384</v>
      </c>
      <c r="J91" s="49">
        <v>13148</v>
      </c>
      <c r="K91" s="49">
        <v>2847</v>
      </c>
      <c r="L91" s="49">
        <v>1389</v>
      </c>
      <c r="M91" s="50">
        <v>4.5610135585685718E-2</v>
      </c>
      <c r="N91" s="51">
        <f t="shared" si="19"/>
        <v>1.2109920819748486E-2</v>
      </c>
      <c r="O91" s="191">
        <f t="shared" si="20"/>
        <v>1.1965025310630465E-3</v>
      </c>
      <c r="P91" s="191">
        <f t="shared" si="21"/>
        <v>1.2044429973356863E-3</v>
      </c>
    </row>
    <row r="92" spans="1:16" x14ac:dyDescent="0.3">
      <c r="A92" s="74" t="s">
        <v>390</v>
      </c>
      <c r="B92" s="47" t="s">
        <v>433</v>
      </c>
      <c r="C92" s="28">
        <f t="shared" si="14"/>
        <v>1891.6413793103447</v>
      </c>
      <c r="D92" s="28">
        <f t="shared" si="15"/>
        <v>1581.2137931034483</v>
      </c>
      <c r="E92" s="28">
        <f t="shared" si="16"/>
        <v>153.93103448275863</v>
      </c>
      <c r="F92" s="28">
        <f t="shared" si="17"/>
        <v>156.49655172413793</v>
      </c>
      <c r="H92" s="49">
        <v>2098</v>
      </c>
      <c r="I92" s="49">
        <f t="shared" si="18"/>
        <v>2212</v>
      </c>
      <c r="J92" s="49">
        <v>1849</v>
      </c>
      <c r="K92" s="49">
        <v>180</v>
      </c>
      <c r="L92" s="49">
        <v>183</v>
      </c>
      <c r="M92" s="50">
        <v>0.14482758620689651</v>
      </c>
      <c r="N92" s="51">
        <f t="shared" si="19"/>
        <v>5.4337464251668258E-2</v>
      </c>
      <c r="O92" s="191">
        <f t="shared" si="20"/>
        <v>5.1537070524412297E-3</v>
      </c>
      <c r="P92" s="191">
        <f t="shared" si="21"/>
        <v>5.3052807938094304E-3</v>
      </c>
    </row>
    <row r="93" spans="1:16" x14ac:dyDescent="0.3">
      <c r="A93" s="74" t="s">
        <v>370</v>
      </c>
      <c r="B93" s="71" t="s">
        <v>389</v>
      </c>
      <c r="C93" s="28">
        <f t="shared" si="14"/>
        <v>8292.7450590818789</v>
      </c>
      <c r="D93" s="28">
        <f t="shared" si="15"/>
        <v>7683.651573773921</v>
      </c>
      <c r="E93" s="28">
        <f t="shared" si="16"/>
        <v>240.35543239569174</v>
      </c>
      <c r="F93" s="28">
        <f t="shared" si="17"/>
        <v>368.73805291226603</v>
      </c>
      <c r="H93" s="72">
        <v>8492</v>
      </c>
      <c r="I93" s="72">
        <f t="shared" si="18"/>
        <v>8591</v>
      </c>
      <c r="J93" s="72">
        <v>7960</v>
      </c>
      <c r="K93" s="72">
        <v>249</v>
      </c>
      <c r="L93" s="72">
        <v>382</v>
      </c>
      <c r="M93" s="50">
        <v>3.4717138973125561E-2</v>
      </c>
      <c r="N93" s="51">
        <f t="shared" si="19"/>
        <v>1.1658031088082901E-2</v>
      </c>
      <c r="O93" s="191">
        <f t="shared" si="20"/>
        <v>1.1523687580025609E-3</v>
      </c>
      <c r="P93" s="191">
        <f t="shared" si="21"/>
        <v>1.1597319511038595E-3</v>
      </c>
    </row>
    <row r="94" spans="1:16" x14ac:dyDescent="0.3">
      <c r="A94" s="48" t="s">
        <v>371</v>
      </c>
      <c r="B94" s="47" t="s">
        <v>437</v>
      </c>
      <c r="C94" s="28">
        <f t="shared" si="14"/>
        <v>31222.628495251891</v>
      </c>
      <c r="D94" s="28">
        <f t="shared" si="15"/>
        <v>20654.735603429832</v>
      </c>
      <c r="E94" s="28">
        <f t="shared" si="16"/>
        <v>5772.6021625713856</v>
      </c>
      <c r="F94" s="28">
        <f t="shared" si="17"/>
        <v>4795.2907292506707</v>
      </c>
      <c r="H94" s="49">
        <v>31284</v>
      </c>
      <c r="I94" s="49">
        <f t="shared" si="18"/>
        <v>32842</v>
      </c>
      <c r="J94" s="49">
        <v>21726</v>
      </c>
      <c r="K94" s="49">
        <v>6072</v>
      </c>
      <c r="L94" s="49">
        <v>5044</v>
      </c>
      <c r="M94" s="50">
        <v>4.9307944240549073E-2</v>
      </c>
      <c r="N94" s="51">
        <f t="shared" si="19"/>
        <v>4.9801815624600433E-2</v>
      </c>
      <c r="O94" s="191">
        <f t="shared" si="20"/>
        <v>4.7439254612995554E-3</v>
      </c>
      <c r="P94" s="191">
        <f t="shared" si="21"/>
        <v>4.8719695699115384E-3</v>
      </c>
    </row>
    <row r="95" spans="1:16" x14ac:dyDescent="0.3">
      <c r="A95" s="48" t="s">
        <v>372</v>
      </c>
      <c r="B95" s="47" t="s">
        <v>436</v>
      </c>
      <c r="C95" s="28">
        <f t="shared" si="14"/>
        <v>3283.1022222222218</v>
      </c>
      <c r="D95" s="28">
        <f t="shared" si="15"/>
        <v>2545.0777777777776</v>
      </c>
      <c r="E95" s="28">
        <f t="shared" si="16"/>
        <v>371.41777777777776</v>
      </c>
      <c r="F95" s="28">
        <f t="shared" si="17"/>
        <v>366.60666666666668</v>
      </c>
      <c r="H95" s="49">
        <v>3387</v>
      </c>
      <c r="I95" s="49">
        <f t="shared" si="18"/>
        <v>3412</v>
      </c>
      <c r="J95" s="49">
        <v>2645</v>
      </c>
      <c r="K95" s="49">
        <v>386</v>
      </c>
      <c r="L95" s="49">
        <v>381</v>
      </c>
      <c r="M95" s="50">
        <v>3.7777777777777799E-2</v>
      </c>
      <c r="N95" s="51">
        <f t="shared" si="19"/>
        <v>7.3811632713315619E-3</v>
      </c>
      <c r="O95" s="191">
        <f t="shared" si="20"/>
        <v>7.3270808909730364E-4</v>
      </c>
      <c r="P95" s="191">
        <f t="shared" si="21"/>
        <v>7.3567605636215561E-4</v>
      </c>
    </row>
    <row r="96" spans="1:16" x14ac:dyDescent="0.3">
      <c r="A96" s="48" t="s">
        <v>373</v>
      </c>
      <c r="B96" s="71" t="s">
        <v>432</v>
      </c>
      <c r="C96" s="28">
        <f t="shared" si="14"/>
        <v>16506.938166506476</v>
      </c>
      <c r="D96" s="28">
        <f t="shared" si="15"/>
        <v>13030.142935603461</v>
      </c>
      <c r="E96" s="28">
        <f t="shared" si="16"/>
        <v>2705.2298503364</v>
      </c>
      <c r="F96" s="28">
        <f t="shared" si="17"/>
        <v>771.56538056661634</v>
      </c>
      <c r="H96" s="72">
        <v>17265</v>
      </c>
      <c r="I96" s="72">
        <f t="shared" si="18"/>
        <v>17372</v>
      </c>
      <c r="J96" s="72">
        <v>13713</v>
      </c>
      <c r="K96" s="72">
        <v>2847</v>
      </c>
      <c r="L96" s="72">
        <v>812</v>
      </c>
      <c r="M96" s="50">
        <v>4.9796329351457724E-2</v>
      </c>
      <c r="N96" s="51">
        <f t="shared" si="19"/>
        <v>6.1975094121054152E-3</v>
      </c>
      <c r="O96" s="191">
        <f t="shared" si="20"/>
        <v>6.1593368639189508E-4</v>
      </c>
      <c r="P96" s="191">
        <f t="shared" si="21"/>
        <v>6.1802928450904737E-4</v>
      </c>
    </row>
    <row r="97" spans="1:16" x14ac:dyDescent="0.3">
      <c r="A97" s="57" t="s">
        <v>374</v>
      </c>
      <c r="B97" s="71" t="s">
        <v>389</v>
      </c>
      <c r="C97" s="28">
        <f t="shared" si="14"/>
        <v>27930.479294372173</v>
      </c>
      <c r="D97" s="28">
        <f t="shared" si="15"/>
        <v>24711.340748342718</v>
      </c>
      <c r="E97" s="28">
        <f t="shared" si="16"/>
        <v>1056.1302249466064</v>
      </c>
      <c r="F97" s="28">
        <f t="shared" si="17"/>
        <v>2163.0083210828502</v>
      </c>
      <c r="H97" s="72">
        <v>26799</v>
      </c>
      <c r="I97" s="72">
        <f t="shared" si="18"/>
        <v>29170</v>
      </c>
      <c r="J97" s="72">
        <v>25808</v>
      </c>
      <c r="K97" s="72">
        <v>1103</v>
      </c>
      <c r="L97" s="72">
        <v>2259</v>
      </c>
      <c r="M97" s="50">
        <v>4.2492996421934381E-2</v>
      </c>
      <c r="N97" s="51">
        <f t="shared" si="19"/>
        <v>8.8473450501884404E-2</v>
      </c>
      <c r="O97" s="191">
        <f t="shared" si="20"/>
        <v>8.1282139184093247E-3</v>
      </c>
      <c r="P97" s="191">
        <f t="shared" si="21"/>
        <v>8.5136578419486852E-3</v>
      </c>
    </row>
    <row r="98" spans="1:16" x14ac:dyDescent="0.3">
      <c r="A98" s="57" t="s">
        <v>375</v>
      </c>
      <c r="B98" s="71" t="s">
        <v>389</v>
      </c>
      <c r="C98" s="28">
        <f t="shared" ref="C98:C118" si="22">SUM(D98:F98)</f>
        <v>33683.71875</v>
      </c>
      <c r="D98" s="28">
        <f t="shared" ref="D98:D118" si="23">J98*(1-$M98)</f>
        <v>27933.020833333336</v>
      </c>
      <c r="E98" s="28">
        <f t="shared" ref="E98:E118" si="24">K98*(1-$M98)</f>
        <v>1242.2916666666667</v>
      </c>
      <c r="F98" s="28">
        <f t="shared" ref="F98:F118" si="25">L98*(1-$M98)</f>
        <v>4508.40625</v>
      </c>
      <c r="H98" s="49">
        <v>36030</v>
      </c>
      <c r="I98" s="49">
        <f t="shared" ref="I98:I118" si="26">SUM(J98:L98)</f>
        <v>36333</v>
      </c>
      <c r="J98" s="49">
        <v>30130</v>
      </c>
      <c r="K98" s="49">
        <v>1340</v>
      </c>
      <c r="L98" s="49">
        <v>4863</v>
      </c>
      <c r="M98" s="50">
        <v>7.291666666666663E-2</v>
      </c>
      <c r="N98" s="51">
        <f t="shared" ref="N98:N118" si="27">(I98-H98)/H98</f>
        <v>8.4096586178184843E-3</v>
      </c>
      <c r="O98" s="191">
        <f t="shared" si="20"/>
        <v>8.3395260506977131E-4</v>
      </c>
      <c r="P98" s="191">
        <f t="shared" si="21"/>
        <v>8.3780020339574435E-4</v>
      </c>
    </row>
    <row r="99" spans="1:16" x14ac:dyDescent="0.3">
      <c r="A99" s="48" t="s">
        <v>376</v>
      </c>
      <c r="B99" s="47" t="s">
        <v>434</v>
      </c>
      <c r="C99" s="28">
        <f t="shared" si="22"/>
        <v>20980.371191135735</v>
      </c>
      <c r="D99" s="28">
        <f t="shared" si="23"/>
        <v>11972.049307479225</v>
      </c>
      <c r="E99" s="28">
        <f t="shared" si="24"/>
        <v>4802.7240997229919</v>
      </c>
      <c r="F99" s="28">
        <f t="shared" si="25"/>
        <v>4205.5977839335183</v>
      </c>
      <c r="H99" s="49">
        <v>21848</v>
      </c>
      <c r="I99" s="49">
        <f t="shared" si="26"/>
        <v>22030</v>
      </c>
      <c r="J99" s="49">
        <v>12571</v>
      </c>
      <c r="K99" s="49">
        <v>5043</v>
      </c>
      <c r="L99" s="49">
        <v>4416</v>
      </c>
      <c r="M99" s="50">
        <v>4.7645429362880853E-2</v>
      </c>
      <c r="N99" s="51">
        <f t="shared" si="27"/>
        <v>8.3302819480043939E-3</v>
      </c>
      <c r="O99" s="191">
        <f t="shared" si="20"/>
        <v>8.261461643213799E-4</v>
      </c>
      <c r="P99" s="191">
        <f t="shared" si="21"/>
        <v>8.2992185900754301E-4</v>
      </c>
    </row>
    <row r="100" spans="1:16" x14ac:dyDescent="0.3">
      <c r="A100" s="48" t="s">
        <v>377</v>
      </c>
      <c r="B100" s="71" t="s">
        <v>393</v>
      </c>
      <c r="C100" s="28">
        <f t="shared" si="22"/>
        <v>7986.2167932662696</v>
      </c>
      <c r="D100" s="28">
        <f t="shared" si="23"/>
        <v>7261.1498665571753</v>
      </c>
      <c r="E100" s="28">
        <f t="shared" si="24"/>
        <v>554.51898994046394</v>
      </c>
      <c r="F100" s="28">
        <f t="shared" si="25"/>
        <v>170.54793676863068</v>
      </c>
      <c r="H100" s="72">
        <v>8295</v>
      </c>
      <c r="I100" s="72">
        <f t="shared" si="26"/>
        <v>8382</v>
      </c>
      <c r="J100" s="72">
        <v>7621</v>
      </c>
      <c r="K100" s="72">
        <v>582</v>
      </c>
      <c r="L100" s="72">
        <v>179</v>
      </c>
      <c r="M100" s="50">
        <v>4.7218230342845446E-2</v>
      </c>
      <c r="N100" s="51">
        <f t="shared" si="27"/>
        <v>1.0488245931283906E-2</v>
      </c>
      <c r="O100" s="191">
        <f t="shared" si="20"/>
        <v>1.0379384395132428E-3</v>
      </c>
      <c r="P100" s="191">
        <f t="shared" si="21"/>
        <v>1.0439070781411708E-3</v>
      </c>
    </row>
    <row r="101" spans="1:16" x14ac:dyDescent="0.3">
      <c r="A101" s="53" t="s">
        <v>378</v>
      </c>
      <c r="B101" s="52" t="s">
        <v>435</v>
      </c>
      <c r="C101" s="28">
        <f t="shared" si="22"/>
        <v>2028.2522441651704</v>
      </c>
      <c r="D101" s="28">
        <f t="shared" si="23"/>
        <v>1949.431777378815</v>
      </c>
      <c r="E101" s="28">
        <f t="shared" si="24"/>
        <v>54.991023339317771</v>
      </c>
      <c r="F101" s="28">
        <f t="shared" si="25"/>
        <v>23.829443447037701</v>
      </c>
      <c r="H101" s="54">
        <v>2142</v>
      </c>
      <c r="I101" s="54">
        <f t="shared" si="26"/>
        <v>2213</v>
      </c>
      <c r="J101" s="54">
        <v>2127</v>
      </c>
      <c r="K101" s="54">
        <v>60</v>
      </c>
      <c r="L101" s="54">
        <v>26</v>
      </c>
      <c r="M101" s="55">
        <v>8.3482944344703824E-2</v>
      </c>
      <c r="N101" s="51">
        <f t="shared" si="27"/>
        <v>3.3146591970121382E-2</v>
      </c>
      <c r="O101" s="191">
        <f t="shared" si="20"/>
        <v>3.2083145051965659E-3</v>
      </c>
      <c r="P101" s="191">
        <f t="shared" si="21"/>
        <v>3.2662314516516133E-3</v>
      </c>
    </row>
    <row r="102" spans="1:16" x14ac:dyDescent="0.3">
      <c r="A102" s="57" t="s">
        <v>379</v>
      </c>
      <c r="B102" s="56" t="s">
        <v>433</v>
      </c>
      <c r="C102" s="28">
        <f t="shared" si="22"/>
        <v>726.4</v>
      </c>
      <c r="D102" s="28">
        <f t="shared" si="23"/>
        <v>518.4</v>
      </c>
      <c r="E102" s="28">
        <f t="shared" si="24"/>
        <v>125.60000000000001</v>
      </c>
      <c r="F102" s="28">
        <f t="shared" si="25"/>
        <v>82.4</v>
      </c>
      <c r="H102" s="58">
        <v>880</v>
      </c>
      <c r="I102" s="58">
        <f t="shared" si="26"/>
        <v>908</v>
      </c>
      <c r="J102" s="58">
        <v>648</v>
      </c>
      <c r="K102" s="58">
        <v>157</v>
      </c>
      <c r="L102" s="58">
        <v>103</v>
      </c>
      <c r="M102" s="59">
        <v>0.19999999999999996</v>
      </c>
      <c r="N102" s="51">
        <f t="shared" si="27"/>
        <v>3.1818181818181815E-2</v>
      </c>
      <c r="O102" s="191">
        <f t="shared" si="20"/>
        <v>3.0837004405286348E-3</v>
      </c>
      <c r="P102" s="191">
        <f t="shared" si="21"/>
        <v>3.1371577246368521E-3</v>
      </c>
    </row>
    <row r="103" spans="1:16" x14ac:dyDescent="0.3">
      <c r="A103" s="74" t="s">
        <v>396</v>
      </c>
      <c r="B103" s="52" t="s">
        <v>432</v>
      </c>
      <c r="C103" s="28">
        <f t="shared" si="22"/>
        <v>413326.49855931586</v>
      </c>
      <c r="D103" s="28">
        <f t="shared" si="23"/>
        <v>303604.92104662181</v>
      </c>
      <c r="E103" s="28">
        <f t="shared" si="24"/>
        <v>46005.57409198027</v>
      </c>
      <c r="F103" s="28">
        <f t="shared" si="25"/>
        <v>63716.00342071378</v>
      </c>
      <c r="H103" s="54">
        <v>418912</v>
      </c>
      <c r="I103" s="54">
        <f t="shared" si="26"/>
        <v>435791</v>
      </c>
      <c r="J103" s="54">
        <v>320106</v>
      </c>
      <c r="K103" s="54">
        <v>48506</v>
      </c>
      <c r="L103" s="54">
        <v>67179</v>
      </c>
      <c r="M103" s="55">
        <v>5.1548796190568735E-2</v>
      </c>
      <c r="N103" s="51">
        <f t="shared" si="27"/>
        <v>4.0292471927278285E-2</v>
      </c>
      <c r="O103" s="191">
        <f t="shared" si="20"/>
        <v>3.8731869175820523E-3</v>
      </c>
      <c r="P103" s="191">
        <f t="shared" si="21"/>
        <v>3.9580019449136916E-3</v>
      </c>
    </row>
    <row r="104" spans="1:16" x14ac:dyDescent="0.3">
      <c r="A104" s="74" t="s">
        <v>398</v>
      </c>
      <c r="B104" s="56" t="s">
        <v>434</v>
      </c>
      <c r="C104" s="28">
        <f t="shared" si="22"/>
        <v>323258.44438872399</v>
      </c>
      <c r="D104" s="28">
        <f t="shared" si="23"/>
        <v>265373.87404189177</v>
      </c>
      <c r="E104" s="28">
        <f t="shared" si="24"/>
        <v>30452.506812818032</v>
      </c>
      <c r="F104" s="28">
        <f t="shared" si="25"/>
        <v>27432.063534014178</v>
      </c>
      <c r="H104" s="58">
        <v>326769</v>
      </c>
      <c r="I104" s="58">
        <f t="shared" si="26"/>
        <v>341405</v>
      </c>
      <c r="J104" s="58">
        <v>280271</v>
      </c>
      <c r="K104" s="58">
        <v>32162</v>
      </c>
      <c r="L104" s="58">
        <v>28972</v>
      </c>
      <c r="M104" s="59">
        <v>5.3152577177475568E-2</v>
      </c>
      <c r="N104" s="51">
        <f t="shared" si="27"/>
        <v>4.4790050463783287E-2</v>
      </c>
      <c r="O104" s="191">
        <f t="shared" si="20"/>
        <v>4.2869905244504328E-3</v>
      </c>
      <c r="P104" s="191">
        <f t="shared" si="21"/>
        <v>4.3912088840347696E-3</v>
      </c>
    </row>
    <row r="105" spans="1:16" x14ac:dyDescent="0.3">
      <c r="A105" s="74" t="s">
        <v>395</v>
      </c>
      <c r="B105" s="60" t="s">
        <v>436</v>
      </c>
      <c r="C105" s="28">
        <f t="shared" si="22"/>
        <v>82910.29687638655</v>
      </c>
      <c r="D105" s="28">
        <f t="shared" si="23"/>
        <v>64318.166208181741</v>
      </c>
      <c r="E105" s="28">
        <f t="shared" si="24"/>
        <v>10639.573342798829</v>
      </c>
      <c r="F105" s="28">
        <f t="shared" si="25"/>
        <v>7952.5573254059809</v>
      </c>
      <c r="H105" s="49">
        <v>87612</v>
      </c>
      <c r="I105" s="49">
        <f t="shared" si="26"/>
        <v>88649</v>
      </c>
      <c r="J105" s="49">
        <v>68770</v>
      </c>
      <c r="K105" s="49">
        <v>11376</v>
      </c>
      <c r="L105" s="49">
        <v>8503</v>
      </c>
      <c r="M105" s="50">
        <v>6.4735114029638829E-2</v>
      </c>
      <c r="N105" s="51">
        <f t="shared" si="27"/>
        <v>1.183627813541524E-2</v>
      </c>
      <c r="O105" s="191">
        <f t="shared" si="20"/>
        <v>1.1697819490349582E-3</v>
      </c>
      <c r="P105" s="191">
        <f t="shared" si="21"/>
        <v>1.1773702847293066E-3</v>
      </c>
    </row>
    <row r="106" spans="1:16" ht="15" thickBot="1" x14ac:dyDescent="0.35">
      <c r="A106" s="74" t="s">
        <v>391</v>
      </c>
      <c r="B106" s="61" t="s">
        <v>433</v>
      </c>
      <c r="C106" s="28">
        <f t="shared" si="22"/>
        <v>39024.588629005862</v>
      </c>
      <c r="D106" s="28">
        <f t="shared" si="23"/>
        <v>32656.407624313415</v>
      </c>
      <c r="E106" s="28">
        <f t="shared" si="24"/>
        <v>2705.9456549416172</v>
      </c>
      <c r="F106" s="28">
        <f t="shared" si="25"/>
        <v>3662.2353497508279</v>
      </c>
      <c r="H106" s="63">
        <v>44420</v>
      </c>
      <c r="I106" s="63">
        <f t="shared" si="26"/>
        <v>44073</v>
      </c>
      <c r="J106" s="63">
        <v>36881</v>
      </c>
      <c r="K106" s="63">
        <v>3056</v>
      </c>
      <c r="L106" s="63">
        <v>4136</v>
      </c>
      <c r="M106" s="64">
        <v>0.11454657888036079</v>
      </c>
      <c r="N106" s="51">
        <f t="shared" si="27"/>
        <v>-7.8117964880684374E-3</v>
      </c>
      <c r="O106" s="191">
        <f t="shared" si="20"/>
        <v>0</v>
      </c>
      <c r="P106" s="191">
        <f t="shared" si="21"/>
        <v>0</v>
      </c>
    </row>
    <row r="107" spans="1:16" x14ac:dyDescent="0.3">
      <c r="A107" s="74" t="s">
        <v>399</v>
      </c>
      <c r="B107" s="47" t="s">
        <v>435</v>
      </c>
      <c r="C107" s="28">
        <f t="shared" si="22"/>
        <v>189550.75558184762</v>
      </c>
      <c r="D107" s="28">
        <f t="shared" si="23"/>
        <v>148009.69326848484</v>
      </c>
      <c r="E107" s="28">
        <f t="shared" si="24"/>
        <v>24161.994906110191</v>
      </c>
      <c r="F107" s="28">
        <f t="shared" si="25"/>
        <v>17379.067407252594</v>
      </c>
      <c r="H107" s="49">
        <v>197675</v>
      </c>
      <c r="I107" s="49">
        <f t="shared" si="26"/>
        <v>200675</v>
      </c>
      <c r="J107" s="49">
        <v>156696</v>
      </c>
      <c r="K107" s="49">
        <v>25580</v>
      </c>
      <c r="L107" s="49">
        <v>18399</v>
      </c>
      <c r="M107" s="50">
        <v>5.5434131895614192E-2</v>
      </c>
      <c r="N107" s="51">
        <f t="shared" si="27"/>
        <v>1.5176425951688378E-2</v>
      </c>
      <c r="O107" s="191">
        <f t="shared" si="20"/>
        <v>1.4949545284664257E-3</v>
      </c>
      <c r="P107" s="191">
        <f t="shared" si="21"/>
        <v>1.5073765577184872E-3</v>
      </c>
    </row>
    <row r="108" spans="1:16" x14ac:dyDescent="0.3">
      <c r="A108" s="74" t="s">
        <v>397</v>
      </c>
      <c r="B108" s="47" t="s">
        <v>437</v>
      </c>
      <c r="C108" s="28">
        <f t="shared" si="22"/>
        <v>445836.21202767023</v>
      </c>
      <c r="D108" s="28">
        <f t="shared" si="23"/>
        <v>335371.18408403377</v>
      </c>
      <c r="E108" s="28">
        <f t="shared" si="24"/>
        <v>63070.294326897922</v>
      </c>
      <c r="F108" s="28">
        <f t="shared" si="25"/>
        <v>47394.733616738551</v>
      </c>
      <c r="H108" s="49">
        <v>454934</v>
      </c>
      <c r="I108" s="49">
        <f t="shared" si="26"/>
        <v>467578</v>
      </c>
      <c r="J108" s="49">
        <v>351726</v>
      </c>
      <c r="K108" s="49">
        <v>66146</v>
      </c>
      <c r="L108" s="49">
        <v>49706</v>
      </c>
      <c r="M108" s="50">
        <v>4.6498740257945759E-2</v>
      </c>
      <c r="N108" s="51">
        <f t="shared" si="27"/>
        <v>2.779304250726479E-2</v>
      </c>
      <c r="O108" s="191">
        <f t="shared" si="20"/>
        <v>2.7041477571656497E-3</v>
      </c>
      <c r="P108" s="191">
        <f t="shared" si="21"/>
        <v>2.7451436500707249E-3</v>
      </c>
    </row>
    <row r="109" spans="1:16" x14ac:dyDescent="0.3">
      <c r="A109" s="74" t="s">
        <v>392</v>
      </c>
      <c r="B109" s="71" t="s">
        <v>389</v>
      </c>
      <c r="C109" s="28">
        <f t="shared" si="22"/>
        <v>127009.23884712865</v>
      </c>
      <c r="D109" s="28">
        <f t="shared" si="23"/>
        <v>109854.38006828983</v>
      </c>
      <c r="E109" s="28">
        <f t="shared" si="24"/>
        <v>6453.4403579329619</v>
      </c>
      <c r="F109" s="28">
        <f t="shared" si="25"/>
        <v>10701.418420905862</v>
      </c>
      <c r="H109" s="72">
        <v>126864</v>
      </c>
      <c r="I109" s="72">
        <f t="shared" si="26"/>
        <v>134066</v>
      </c>
      <c r="J109" s="72">
        <v>115958</v>
      </c>
      <c r="K109" s="72">
        <v>6812</v>
      </c>
      <c r="L109" s="72">
        <v>11296</v>
      </c>
      <c r="M109" s="50">
        <v>5.2636471237087257E-2</v>
      </c>
      <c r="N109" s="51">
        <f t="shared" si="27"/>
        <v>5.6769453903392608E-2</v>
      </c>
      <c r="O109" s="191">
        <f t="shared" si="20"/>
        <v>5.3719809645995263E-3</v>
      </c>
      <c r="P109" s="191">
        <f t="shared" si="21"/>
        <v>5.5369293922795659E-3</v>
      </c>
    </row>
    <row r="110" spans="1:16" x14ac:dyDescent="0.3">
      <c r="A110" s="74" t="s">
        <v>394</v>
      </c>
      <c r="B110" s="71" t="s">
        <v>393</v>
      </c>
      <c r="C110" s="28">
        <f t="shared" si="22"/>
        <v>153807.34724909076</v>
      </c>
      <c r="D110" s="28">
        <f t="shared" si="23"/>
        <v>127217.51731409115</v>
      </c>
      <c r="E110" s="28">
        <f t="shared" si="24"/>
        <v>13725.702990791611</v>
      </c>
      <c r="F110" s="28">
        <f t="shared" si="25"/>
        <v>12864.126944208001</v>
      </c>
      <c r="H110" s="49">
        <v>168122</v>
      </c>
      <c r="I110" s="49">
        <f t="shared" si="26"/>
        <v>167986</v>
      </c>
      <c r="J110" s="49">
        <v>138945</v>
      </c>
      <c r="K110" s="49">
        <v>14991</v>
      </c>
      <c r="L110" s="49">
        <v>14050</v>
      </c>
      <c r="M110" s="50">
        <v>8.4403776212953696E-2</v>
      </c>
      <c r="N110" s="51">
        <f t="shared" si="27"/>
        <v>-8.0893636763778687E-4</v>
      </c>
      <c r="O110" s="191">
        <f t="shared" si="20"/>
        <v>0</v>
      </c>
      <c r="P110" s="191">
        <f t="shared" si="21"/>
        <v>0</v>
      </c>
    </row>
    <row r="111" spans="1:16" x14ac:dyDescent="0.3">
      <c r="A111" s="74" t="s">
        <v>380</v>
      </c>
      <c r="B111" s="71" t="s">
        <v>432</v>
      </c>
      <c r="C111" s="28">
        <f t="shared" si="22"/>
        <v>39947.449729289168</v>
      </c>
      <c r="D111" s="28">
        <f t="shared" si="23"/>
        <v>32864.109914420449</v>
      </c>
      <c r="E111" s="28">
        <f t="shared" si="24"/>
        <v>3947.7636374221343</v>
      </c>
      <c r="F111" s="28">
        <f t="shared" si="25"/>
        <v>3135.5761774465859</v>
      </c>
      <c r="H111" s="49">
        <v>41716</v>
      </c>
      <c r="I111" s="49">
        <f t="shared" si="26"/>
        <v>42004</v>
      </c>
      <c r="J111" s="49">
        <v>34556</v>
      </c>
      <c r="K111" s="49">
        <v>4151</v>
      </c>
      <c r="L111" s="49">
        <v>3297</v>
      </c>
      <c r="M111" s="50">
        <v>4.8960819700762603E-2</v>
      </c>
      <c r="N111" s="51">
        <f t="shared" si="27"/>
        <v>6.903825870169719E-3</v>
      </c>
      <c r="O111" s="191">
        <f t="shared" si="20"/>
        <v>6.8564898581087517E-4</v>
      </c>
      <c r="P111" s="191">
        <f t="shared" si="21"/>
        <v>6.8824709189341249E-4</v>
      </c>
    </row>
    <row r="112" spans="1:16" x14ac:dyDescent="0.3">
      <c r="A112" s="74" t="s">
        <v>381</v>
      </c>
      <c r="B112" s="71" t="s">
        <v>434</v>
      </c>
      <c r="C112" s="28">
        <f t="shared" si="22"/>
        <v>51160.925190109665</v>
      </c>
      <c r="D112" s="28">
        <f t="shared" si="23"/>
        <v>45765.270426185001</v>
      </c>
      <c r="E112" s="28">
        <f t="shared" si="24"/>
        <v>2846.4006570930574</v>
      </c>
      <c r="F112" s="28">
        <f t="shared" si="25"/>
        <v>2549.2541068316082</v>
      </c>
      <c r="H112" s="72">
        <v>52759</v>
      </c>
      <c r="I112" s="72">
        <f t="shared" si="26"/>
        <v>54407</v>
      </c>
      <c r="J112" s="72">
        <v>48669</v>
      </c>
      <c r="K112" s="72">
        <v>3027</v>
      </c>
      <c r="L112" s="72">
        <v>2711</v>
      </c>
      <c r="M112" s="50">
        <v>5.9662815628325983E-2</v>
      </c>
      <c r="N112" s="51">
        <f t="shared" si="27"/>
        <v>3.1236376731931994E-2</v>
      </c>
      <c r="O112" s="191">
        <f t="shared" si="20"/>
        <v>3.0290220008454796E-3</v>
      </c>
      <c r="P112" s="191">
        <f t="shared" si="21"/>
        <v>3.0805800781672499E-3</v>
      </c>
    </row>
    <row r="113" spans="1:16" x14ac:dyDescent="0.3">
      <c r="A113" s="74" t="s">
        <v>382</v>
      </c>
      <c r="B113" s="71" t="s">
        <v>436</v>
      </c>
      <c r="C113" s="28">
        <f t="shared" si="22"/>
        <v>23438.90287745657</v>
      </c>
      <c r="D113" s="28">
        <f t="shared" si="23"/>
        <v>20429.196592662149</v>
      </c>
      <c r="E113" s="28">
        <f t="shared" si="24"/>
        <v>1706.3042457575959</v>
      </c>
      <c r="F113" s="28">
        <f t="shared" si="25"/>
        <v>1303.4020390368232</v>
      </c>
      <c r="H113" s="72">
        <v>25954</v>
      </c>
      <c r="I113" s="72">
        <f t="shared" si="26"/>
        <v>26237</v>
      </c>
      <c r="J113" s="72">
        <v>22868</v>
      </c>
      <c r="K113" s="72">
        <v>1910</v>
      </c>
      <c r="L113" s="72">
        <v>1459</v>
      </c>
      <c r="M113" s="50">
        <v>0.10664699174994974</v>
      </c>
      <c r="N113" s="51">
        <f t="shared" si="27"/>
        <v>1.0903906912229328E-2</v>
      </c>
      <c r="O113" s="191">
        <f t="shared" si="20"/>
        <v>1.07862941647292E-3</v>
      </c>
      <c r="P113" s="191">
        <f t="shared" si="21"/>
        <v>1.0850770662591547E-3</v>
      </c>
    </row>
    <row r="114" spans="1:16" x14ac:dyDescent="0.3">
      <c r="A114" s="74" t="s">
        <v>383</v>
      </c>
      <c r="B114" s="47" t="s">
        <v>433</v>
      </c>
      <c r="C114" s="28">
        <f t="shared" si="22"/>
        <v>7704.0496626180839</v>
      </c>
      <c r="D114" s="28">
        <f t="shared" si="23"/>
        <v>6968.032388663968</v>
      </c>
      <c r="E114" s="28">
        <f t="shared" si="24"/>
        <v>276.76059379217276</v>
      </c>
      <c r="F114" s="28">
        <f t="shared" si="25"/>
        <v>459.25668016194334</v>
      </c>
      <c r="H114" s="49">
        <v>11400</v>
      </c>
      <c r="I114" s="49">
        <f t="shared" si="26"/>
        <v>10216</v>
      </c>
      <c r="J114" s="49">
        <v>9240</v>
      </c>
      <c r="K114" s="49">
        <v>367</v>
      </c>
      <c r="L114" s="49">
        <v>609</v>
      </c>
      <c r="M114" s="50">
        <v>0.24588394062078267</v>
      </c>
      <c r="N114" s="51">
        <f t="shared" si="27"/>
        <v>-0.10385964912280701</v>
      </c>
      <c r="O114" s="191">
        <f t="shared" si="20"/>
        <v>0</v>
      </c>
      <c r="P114" s="191">
        <f t="shared" si="21"/>
        <v>0</v>
      </c>
    </row>
    <row r="115" spans="1:16" x14ac:dyDescent="0.3">
      <c r="A115" s="74" t="s">
        <v>384</v>
      </c>
      <c r="B115" s="52" t="s">
        <v>435</v>
      </c>
      <c r="C115" s="28">
        <f t="shared" si="22"/>
        <v>19043.522362759162</v>
      </c>
      <c r="D115" s="28">
        <f t="shared" si="23"/>
        <v>17523.709088538271</v>
      </c>
      <c r="E115" s="28">
        <f t="shared" si="24"/>
        <v>747.74064415177986</v>
      </c>
      <c r="F115" s="28">
        <f t="shared" si="25"/>
        <v>772.07263006910944</v>
      </c>
      <c r="H115" s="54">
        <v>19946</v>
      </c>
      <c r="I115" s="54">
        <f t="shared" si="26"/>
        <v>20349</v>
      </c>
      <c r="J115" s="54">
        <v>18725</v>
      </c>
      <c r="K115" s="54">
        <v>799</v>
      </c>
      <c r="L115" s="54">
        <v>825</v>
      </c>
      <c r="M115" s="55">
        <v>6.4154387795018919E-2</v>
      </c>
      <c r="N115" s="51">
        <f t="shared" si="27"/>
        <v>2.0204552291186204E-2</v>
      </c>
      <c r="O115" s="191">
        <f t="shared" si="20"/>
        <v>1.9804412993267486E-3</v>
      </c>
      <c r="P115" s="191">
        <f t="shared" si="21"/>
        <v>2.002316829648132E-3</v>
      </c>
    </row>
    <row r="116" spans="1:16" x14ac:dyDescent="0.3">
      <c r="A116" s="74" t="s">
        <v>385</v>
      </c>
      <c r="B116" s="56" t="s">
        <v>437</v>
      </c>
      <c r="C116" s="28">
        <f t="shared" si="22"/>
        <v>22310.614438771841</v>
      </c>
      <c r="D116" s="28">
        <f t="shared" si="23"/>
        <v>20257.05597900338</v>
      </c>
      <c r="E116" s="28">
        <f t="shared" si="24"/>
        <v>993.26137916157336</v>
      </c>
      <c r="F116" s="28">
        <f t="shared" si="25"/>
        <v>1060.2970806068886</v>
      </c>
      <c r="H116" s="58">
        <v>25754</v>
      </c>
      <c r="I116" s="58">
        <f t="shared" si="26"/>
        <v>23630</v>
      </c>
      <c r="J116" s="58">
        <v>21455</v>
      </c>
      <c r="K116" s="58">
        <v>1052</v>
      </c>
      <c r="L116" s="58">
        <v>1123</v>
      </c>
      <c r="M116" s="59">
        <v>5.5835190911051935E-2</v>
      </c>
      <c r="N116" s="51">
        <f t="shared" si="27"/>
        <v>-8.2472625611555481E-2</v>
      </c>
      <c r="O116" s="191">
        <f t="shared" si="20"/>
        <v>0</v>
      </c>
      <c r="P116" s="191">
        <f t="shared" si="21"/>
        <v>0</v>
      </c>
    </row>
    <row r="117" spans="1:16" x14ac:dyDescent="0.3">
      <c r="A117" s="74" t="s">
        <v>386</v>
      </c>
      <c r="B117" s="60" t="s">
        <v>389</v>
      </c>
      <c r="C117" s="28">
        <f t="shared" si="22"/>
        <v>6122.0855335533552</v>
      </c>
      <c r="D117" s="28">
        <f t="shared" si="23"/>
        <v>5694.9421067106714</v>
      </c>
      <c r="E117" s="28">
        <f t="shared" si="24"/>
        <v>285.06586908690872</v>
      </c>
      <c r="F117" s="28">
        <f t="shared" si="25"/>
        <v>142.07755775577559</v>
      </c>
      <c r="H117" s="49">
        <v>6949</v>
      </c>
      <c r="I117" s="49">
        <f t="shared" si="26"/>
        <v>6722</v>
      </c>
      <c r="J117" s="49">
        <v>6253</v>
      </c>
      <c r="K117" s="49">
        <v>313</v>
      </c>
      <c r="L117" s="49">
        <v>156</v>
      </c>
      <c r="M117" s="50">
        <v>8.9246424642464239E-2</v>
      </c>
      <c r="N117" s="51">
        <f t="shared" si="27"/>
        <v>-3.2666570729601378E-2</v>
      </c>
      <c r="O117" s="191">
        <f t="shared" si="20"/>
        <v>0</v>
      </c>
      <c r="P117" s="191">
        <f t="shared" si="21"/>
        <v>0</v>
      </c>
    </row>
    <row r="118" spans="1:16" ht="15" thickBot="1" x14ac:dyDescent="0.35">
      <c r="A118" s="74" t="s">
        <v>387</v>
      </c>
      <c r="B118" s="61" t="s">
        <v>393</v>
      </c>
      <c r="C118" s="28">
        <f t="shared" si="22"/>
        <v>48736.751533366049</v>
      </c>
      <c r="D118" s="28">
        <f t="shared" si="23"/>
        <v>44319.510672227676</v>
      </c>
      <c r="E118" s="28">
        <f t="shared" si="24"/>
        <v>2187.3073478900883</v>
      </c>
      <c r="F118" s="28">
        <f t="shared" si="25"/>
        <v>2229.9335132482829</v>
      </c>
      <c r="H118" s="63">
        <v>60900</v>
      </c>
      <c r="I118" s="63">
        <f t="shared" si="26"/>
        <v>58311</v>
      </c>
      <c r="J118" s="63">
        <v>53026</v>
      </c>
      <c r="K118" s="63">
        <v>2617</v>
      </c>
      <c r="L118" s="63">
        <v>2668</v>
      </c>
      <c r="M118" s="64">
        <v>0.16419283611383706</v>
      </c>
      <c r="N118" s="51">
        <f t="shared" si="27"/>
        <v>-4.2512315270935963E-2</v>
      </c>
      <c r="O118" s="191">
        <f t="shared" si="20"/>
        <v>0</v>
      </c>
      <c r="P118" s="191">
        <f t="shared" si="21"/>
        <v>0</v>
      </c>
    </row>
  </sheetData>
  <sortState xmlns:xlrd2="http://schemas.microsoft.com/office/spreadsheetml/2017/richdata2" ref="A2:N118">
    <sortCondition ref="A2:A118"/>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22BB-A295-4E55-B6BD-55E93248D39E}">
  <sheetPr codeName="Sheet22"/>
  <dimension ref="A1:G118"/>
  <sheetViews>
    <sheetView workbookViewId="0">
      <selection activeCell="C21" sqref="C21"/>
    </sheetView>
  </sheetViews>
  <sheetFormatPr defaultRowHeight="14.4" x14ac:dyDescent="0.3"/>
  <cols>
    <col min="1" max="1" width="20.44140625" style="27" bestFit="1" customWidth="1"/>
    <col min="2" max="2" width="11.33203125" style="27" bestFit="1" customWidth="1"/>
    <col min="3" max="3" width="13.33203125" customWidth="1"/>
  </cols>
  <sheetData>
    <row r="1" spans="1:7" ht="29.4" thickBot="1" x14ac:dyDescent="0.35">
      <c r="A1" s="43" t="s">
        <v>22</v>
      </c>
      <c r="B1" s="42" t="s">
        <v>20</v>
      </c>
      <c r="C1" s="2" t="s">
        <v>438</v>
      </c>
      <c r="D1" s="2" t="s">
        <v>422</v>
      </c>
      <c r="E1" s="2" t="s">
        <v>423</v>
      </c>
      <c r="F1" s="10" t="s">
        <v>424</v>
      </c>
      <c r="G1" s="82"/>
    </row>
    <row r="2" spans="1:7" x14ac:dyDescent="0.3">
      <c r="A2" s="48" t="s">
        <v>278</v>
      </c>
      <c r="B2" s="47" t="s">
        <v>432</v>
      </c>
      <c r="C2" s="73">
        <f t="shared" ref="C2:C33" si="0">SUM(D2:F2)</f>
        <v>758</v>
      </c>
      <c r="D2" s="73">
        <v>495</v>
      </c>
      <c r="E2" s="73">
        <v>95.995138962274112</v>
      </c>
      <c r="F2" s="73">
        <v>167.00486103772587</v>
      </c>
      <c r="G2" s="36"/>
    </row>
    <row r="3" spans="1:7" x14ac:dyDescent="0.3">
      <c r="A3" s="48" t="s">
        <v>279</v>
      </c>
      <c r="B3" s="47" t="s">
        <v>432</v>
      </c>
      <c r="C3" s="73">
        <f t="shared" si="0"/>
        <v>228.80491051079645</v>
      </c>
      <c r="D3" s="73">
        <v>188.72215052843072</v>
      </c>
      <c r="E3" s="73">
        <v>8.8197084230860892</v>
      </c>
      <c r="F3" s="73">
        <v>31.263051559279631</v>
      </c>
      <c r="G3" s="82"/>
    </row>
    <row r="4" spans="1:7" x14ac:dyDescent="0.3">
      <c r="A4" s="74" t="s">
        <v>280</v>
      </c>
      <c r="B4" s="71" t="s">
        <v>433</v>
      </c>
      <c r="C4" s="73">
        <f t="shared" si="0"/>
        <v>340.12723901375068</v>
      </c>
      <c r="D4" s="73">
        <v>337.35770638019068</v>
      </c>
      <c r="E4" s="73">
        <v>1.8595433396760186</v>
      </c>
      <c r="F4" s="73">
        <v>0.90998929388400918</v>
      </c>
      <c r="G4" s="82"/>
    </row>
    <row r="5" spans="1:7" x14ac:dyDescent="0.3">
      <c r="A5" s="48" t="s">
        <v>282</v>
      </c>
      <c r="B5" s="71" t="s">
        <v>434</v>
      </c>
      <c r="C5" s="73">
        <f t="shared" si="0"/>
        <v>1623.9999999999998</v>
      </c>
      <c r="D5" s="73">
        <v>1499.9999999999998</v>
      </c>
      <c r="E5" s="73">
        <v>66.640251572327031</v>
      </c>
      <c r="F5" s="73">
        <v>57.359748427672955</v>
      </c>
      <c r="G5" s="82"/>
    </row>
    <row r="6" spans="1:7" x14ac:dyDescent="0.3">
      <c r="A6" s="48" t="s">
        <v>284</v>
      </c>
      <c r="B6" s="47" t="s">
        <v>435</v>
      </c>
      <c r="C6" s="73">
        <f t="shared" si="0"/>
        <v>83.397149162350416</v>
      </c>
      <c r="D6" s="73">
        <v>80.525300074850875</v>
      </c>
      <c r="E6" s="73">
        <v>2.0513207767853903</v>
      </c>
      <c r="F6" s="73">
        <v>0.820528310714156</v>
      </c>
      <c r="G6" s="82"/>
    </row>
    <row r="7" spans="1:7" x14ac:dyDescent="0.3">
      <c r="A7" s="48" t="s">
        <v>286</v>
      </c>
      <c r="B7" s="47" t="s">
        <v>435</v>
      </c>
      <c r="C7" s="73">
        <f t="shared" si="0"/>
        <v>266.8293246068269</v>
      </c>
      <c r="D7" s="73">
        <v>223.14424277119312</v>
      </c>
      <c r="E7" s="73">
        <v>28.706106146933244</v>
      </c>
      <c r="F7" s="73">
        <v>14.978975688700505</v>
      </c>
      <c r="G7" s="82"/>
    </row>
    <row r="8" spans="1:7" x14ac:dyDescent="0.3">
      <c r="A8" s="48" t="s">
        <v>287</v>
      </c>
      <c r="B8" s="71" t="s">
        <v>436</v>
      </c>
      <c r="C8" s="73">
        <f t="shared" si="0"/>
        <v>58.686012111858922</v>
      </c>
      <c r="D8" s="73">
        <v>52.450731195347856</v>
      </c>
      <c r="E8" s="73">
        <v>2.3798782124088045</v>
      </c>
      <c r="F8" s="73">
        <v>3.8554027041022625</v>
      </c>
      <c r="G8" s="82"/>
    </row>
    <row r="9" spans="1:7" x14ac:dyDescent="0.3">
      <c r="A9" s="48" t="s">
        <v>289</v>
      </c>
      <c r="B9" s="47" t="s">
        <v>389</v>
      </c>
      <c r="C9" s="73">
        <f t="shared" si="0"/>
        <v>492.04791351267647</v>
      </c>
      <c r="D9" s="73">
        <v>436.78248951116552</v>
      </c>
      <c r="E9" s="73">
        <v>23.186382231630958</v>
      </c>
      <c r="F9" s="73">
        <v>32.079041769880007</v>
      </c>
      <c r="G9" s="82"/>
    </row>
    <row r="10" spans="1:7" x14ac:dyDescent="0.3">
      <c r="A10" s="48" t="s">
        <v>291</v>
      </c>
      <c r="B10" s="47" t="s">
        <v>432</v>
      </c>
      <c r="C10" s="73">
        <f t="shared" si="0"/>
        <v>780</v>
      </c>
      <c r="D10" s="73">
        <v>640</v>
      </c>
      <c r="E10" s="73">
        <v>24.066267530550313</v>
      </c>
      <c r="F10" s="73">
        <v>115.93373246944968</v>
      </c>
      <c r="G10" s="82"/>
    </row>
    <row r="11" spans="1:7" x14ac:dyDescent="0.3">
      <c r="A11" s="48" t="s">
        <v>292</v>
      </c>
      <c r="B11" s="47" t="s">
        <v>434</v>
      </c>
      <c r="C11" s="73">
        <f t="shared" si="0"/>
        <v>1445</v>
      </c>
      <c r="D11" s="73">
        <v>1421</v>
      </c>
      <c r="E11" s="73">
        <v>15.297196261682245</v>
      </c>
      <c r="F11" s="73">
        <v>8.7028037383177566</v>
      </c>
      <c r="G11" s="82"/>
    </row>
    <row r="12" spans="1:7" x14ac:dyDescent="0.3">
      <c r="A12" s="48" t="s">
        <v>293</v>
      </c>
      <c r="B12" s="71" t="s">
        <v>435</v>
      </c>
      <c r="C12" s="73">
        <f t="shared" si="0"/>
        <v>59.958626863962373</v>
      </c>
      <c r="D12" s="73">
        <v>40.363934344849888</v>
      </c>
      <c r="E12" s="73">
        <v>9.966997277037736</v>
      </c>
      <c r="F12" s="73">
        <v>9.6276952420747488</v>
      </c>
      <c r="G12" s="82"/>
    </row>
    <row r="13" spans="1:7" x14ac:dyDescent="0.3">
      <c r="A13" s="48" t="s">
        <v>294</v>
      </c>
      <c r="B13" s="71" t="s">
        <v>435</v>
      </c>
      <c r="C13" s="73">
        <f t="shared" si="0"/>
        <v>281.57092374711743</v>
      </c>
      <c r="D13" s="73">
        <v>218.30508241160177</v>
      </c>
      <c r="E13" s="73">
        <v>24.986986448338044</v>
      </c>
      <c r="F13" s="73">
        <v>38.278854887177623</v>
      </c>
      <c r="G13" s="82"/>
    </row>
    <row r="14" spans="1:7" x14ac:dyDescent="0.3">
      <c r="A14" s="48" t="s">
        <v>295</v>
      </c>
      <c r="B14" s="71" t="s">
        <v>433</v>
      </c>
      <c r="C14" s="73">
        <f t="shared" si="0"/>
        <v>83.143824691735276</v>
      </c>
      <c r="D14" s="73">
        <v>71.101905721582696</v>
      </c>
      <c r="E14" s="73">
        <v>3.1337157553905857</v>
      </c>
      <c r="F14" s="73">
        <v>8.9082032147620023</v>
      </c>
      <c r="G14" s="82"/>
    </row>
    <row r="15" spans="1:7" x14ac:dyDescent="0.3">
      <c r="A15" s="53" t="s">
        <v>296</v>
      </c>
      <c r="B15" s="52" t="s">
        <v>437</v>
      </c>
      <c r="C15" s="73">
        <f t="shared" si="0"/>
        <v>536.88681461289082</v>
      </c>
      <c r="D15" s="73">
        <v>300.04308441089603</v>
      </c>
      <c r="E15" s="73">
        <v>128.23701067693591</v>
      </c>
      <c r="F15" s="73">
        <v>108.60671952505888</v>
      </c>
      <c r="G15" s="82"/>
    </row>
    <row r="16" spans="1:7" x14ac:dyDescent="0.3">
      <c r="A16" s="57" t="s">
        <v>297</v>
      </c>
      <c r="B16" s="56" t="s">
        <v>434</v>
      </c>
      <c r="C16" s="73">
        <f t="shared" si="0"/>
        <v>247.45200102729214</v>
      </c>
      <c r="D16" s="73">
        <v>196.46729924526807</v>
      </c>
      <c r="E16" s="73">
        <v>42.487251485020053</v>
      </c>
      <c r="F16" s="73">
        <v>8.4974502970040113</v>
      </c>
      <c r="G16" s="82"/>
    </row>
    <row r="17" spans="1:6" x14ac:dyDescent="0.3">
      <c r="A17" s="57" t="s">
        <v>298</v>
      </c>
      <c r="B17" s="60" t="s">
        <v>393</v>
      </c>
      <c r="C17" s="73">
        <f t="shared" si="0"/>
        <v>175.6592186700982</v>
      </c>
      <c r="D17" s="73">
        <v>165.58616314268207</v>
      </c>
      <c r="E17" s="73">
        <v>7.5956283571597423</v>
      </c>
      <c r="F17" s="73">
        <v>2.4774271702564032</v>
      </c>
    </row>
    <row r="18" spans="1:6" ht="15" thickBot="1" x14ac:dyDescent="0.35">
      <c r="A18" s="62" t="s">
        <v>300</v>
      </c>
      <c r="B18" s="61" t="s">
        <v>435</v>
      </c>
      <c r="C18" s="73">
        <f t="shared" si="0"/>
        <v>16.122054966631691</v>
      </c>
      <c r="D18" s="73">
        <v>7.3522981726152938</v>
      </c>
      <c r="E18" s="73">
        <v>4.9302612822082228</v>
      </c>
      <c r="F18" s="73">
        <v>3.8394955118081731</v>
      </c>
    </row>
    <row r="19" spans="1:6" x14ac:dyDescent="0.3">
      <c r="A19" s="48" t="s">
        <v>301</v>
      </c>
      <c r="B19" s="47" t="s">
        <v>434</v>
      </c>
      <c r="C19" s="73">
        <f t="shared" si="0"/>
        <v>1952</v>
      </c>
      <c r="D19" s="73">
        <v>1412</v>
      </c>
      <c r="E19" s="73">
        <v>259.95800839832037</v>
      </c>
      <c r="F19" s="73">
        <v>280.04199160167968</v>
      </c>
    </row>
    <row r="20" spans="1:6" x14ac:dyDescent="0.3">
      <c r="A20" s="48" t="s">
        <v>302</v>
      </c>
      <c r="B20" s="71" t="s">
        <v>436</v>
      </c>
      <c r="C20" s="73">
        <f t="shared" si="0"/>
        <v>215.8916324932072</v>
      </c>
      <c r="D20" s="73">
        <v>163.4296084057321</v>
      </c>
      <c r="E20" s="73">
        <v>32.886641965282898</v>
      </c>
      <c r="F20" s="73">
        <v>19.575382122192202</v>
      </c>
    </row>
    <row r="21" spans="1:6" x14ac:dyDescent="0.3">
      <c r="A21" s="48" t="s">
        <v>303</v>
      </c>
      <c r="B21" s="47" t="s">
        <v>393</v>
      </c>
      <c r="C21" s="73">
        <f t="shared" si="0"/>
        <v>119.79257175906548</v>
      </c>
      <c r="D21" s="73">
        <v>91.10970161905388</v>
      </c>
      <c r="E21" s="73">
        <v>16.416992899931941</v>
      </c>
      <c r="F21" s="73">
        <v>12.265877240079654</v>
      </c>
    </row>
    <row r="22" spans="1:6" x14ac:dyDescent="0.3">
      <c r="A22" s="48" t="s">
        <v>304</v>
      </c>
      <c r="B22" s="71" t="s">
        <v>437</v>
      </c>
      <c r="C22" s="73">
        <f t="shared" si="0"/>
        <v>703.63569475656823</v>
      </c>
      <c r="D22" s="73">
        <v>450.79678125184199</v>
      </c>
      <c r="E22" s="73">
        <v>141.00210007245357</v>
      </c>
      <c r="F22" s="73">
        <v>111.83681343227268</v>
      </c>
    </row>
    <row r="23" spans="1:6" x14ac:dyDescent="0.3">
      <c r="A23" s="74" t="s">
        <v>305</v>
      </c>
      <c r="B23" s="47" t="s">
        <v>435</v>
      </c>
      <c r="C23" s="73">
        <f t="shared" si="0"/>
        <v>712</v>
      </c>
      <c r="D23" s="73">
        <v>478.00000000000006</v>
      </c>
      <c r="E23" s="73">
        <v>127.91965085049237</v>
      </c>
      <c r="F23" s="73">
        <v>106.0803491495076</v>
      </c>
    </row>
    <row r="24" spans="1:6" x14ac:dyDescent="0.3">
      <c r="A24" s="48" t="s">
        <v>306</v>
      </c>
      <c r="B24" s="47" t="s">
        <v>434</v>
      </c>
      <c r="C24" s="73">
        <f t="shared" si="0"/>
        <v>1452.0000000000002</v>
      </c>
      <c r="D24" s="73">
        <v>1236</v>
      </c>
      <c r="E24" s="73">
        <v>204.36762334730736</v>
      </c>
      <c r="F24" s="73">
        <v>11.632376652692681</v>
      </c>
    </row>
    <row r="25" spans="1:6" x14ac:dyDescent="0.3">
      <c r="A25" s="48" t="s">
        <v>307</v>
      </c>
      <c r="B25" s="47" t="s">
        <v>389</v>
      </c>
      <c r="C25" s="73">
        <f t="shared" si="0"/>
        <v>327.10188913243638</v>
      </c>
      <c r="D25" s="73">
        <v>307.99268901095405</v>
      </c>
      <c r="E25" s="73">
        <v>7.4606311069357698</v>
      </c>
      <c r="F25" s="73">
        <v>11.648569014546556</v>
      </c>
    </row>
    <row r="26" spans="1:6" x14ac:dyDescent="0.3">
      <c r="A26" s="48" t="s">
        <v>308</v>
      </c>
      <c r="B26" s="47" t="s">
        <v>432</v>
      </c>
      <c r="C26" s="73">
        <f t="shared" si="0"/>
        <v>727.93723734320611</v>
      </c>
      <c r="D26" s="73">
        <v>570.35165220355168</v>
      </c>
      <c r="E26" s="73">
        <v>128.2823238182801</v>
      </c>
      <c r="F26" s="73">
        <v>29.303261321374265</v>
      </c>
    </row>
    <row r="27" spans="1:6" x14ac:dyDescent="0.3">
      <c r="A27" s="48" t="s">
        <v>309</v>
      </c>
      <c r="B27" s="47" t="s">
        <v>435</v>
      </c>
      <c r="C27" s="73">
        <f t="shared" si="0"/>
        <v>169.19395938634986</v>
      </c>
      <c r="D27" s="73">
        <v>143.4520891327353</v>
      </c>
      <c r="E27" s="73">
        <v>13.477857270998191</v>
      </c>
      <c r="F27" s="73">
        <v>12.264012982616368</v>
      </c>
    </row>
    <row r="28" spans="1:6" x14ac:dyDescent="0.3">
      <c r="A28" s="48" t="s">
        <v>310</v>
      </c>
      <c r="B28" s="47" t="s">
        <v>434</v>
      </c>
      <c r="C28" s="73">
        <f t="shared" si="0"/>
        <v>556.54584389715012</v>
      </c>
      <c r="D28" s="73">
        <v>421.51913553064412</v>
      </c>
      <c r="E28" s="73">
        <v>28.370780297232152</v>
      </c>
      <c r="F28" s="73">
        <v>106.65592806927381</v>
      </c>
    </row>
    <row r="29" spans="1:6" x14ac:dyDescent="0.3">
      <c r="A29" s="48" t="s">
        <v>311</v>
      </c>
      <c r="B29" s="47" t="s">
        <v>432</v>
      </c>
      <c r="C29" s="73">
        <f t="shared" si="0"/>
        <v>61.666545409651313</v>
      </c>
      <c r="D29" s="73">
        <v>18.406177770443044</v>
      </c>
      <c r="E29" s="73">
        <v>14.9934377038224</v>
      </c>
      <c r="F29" s="73">
        <v>28.266929935385868</v>
      </c>
    </row>
    <row r="30" spans="1:6" x14ac:dyDescent="0.3">
      <c r="A30" s="48" t="s">
        <v>312</v>
      </c>
      <c r="B30" s="47" t="s">
        <v>436</v>
      </c>
      <c r="C30" s="73">
        <f t="shared" si="0"/>
        <v>187.62658348509862</v>
      </c>
      <c r="D30" s="73">
        <v>144.18393257429406</v>
      </c>
      <c r="E30" s="73">
        <v>17.792731003141665</v>
      </c>
      <c r="F30" s="73">
        <v>25.649919907662913</v>
      </c>
    </row>
    <row r="31" spans="1:6" x14ac:dyDescent="0.3">
      <c r="A31" s="48" t="s">
        <v>313</v>
      </c>
      <c r="B31" s="71" t="s">
        <v>389</v>
      </c>
      <c r="C31" s="73">
        <f t="shared" si="0"/>
        <v>1836</v>
      </c>
      <c r="D31" s="73">
        <v>1741.0000000000002</v>
      </c>
      <c r="E31" s="73">
        <v>52.461111111111109</v>
      </c>
      <c r="F31" s="73">
        <v>42.538888888888884</v>
      </c>
    </row>
    <row r="32" spans="1:6" x14ac:dyDescent="0.3">
      <c r="A32" s="48" t="s">
        <v>314</v>
      </c>
      <c r="B32" s="47" t="s">
        <v>435</v>
      </c>
      <c r="C32" s="73">
        <f t="shared" si="0"/>
        <v>316.8060483537177</v>
      </c>
      <c r="D32" s="73">
        <v>162.14656399841851</v>
      </c>
      <c r="E32" s="73">
        <v>114.27208188425998</v>
      </c>
      <c r="F32" s="73">
        <v>40.387402471039174</v>
      </c>
    </row>
    <row r="33" spans="1:6" x14ac:dyDescent="0.3">
      <c r="A33" s="48" t="s">
        <v>315</v>
      </c>
      <c r="B33" s="47" t="s">
        <v>432</v>
      </c>
      <c r="C33" s="73">
        <f t="shared" si="0"/>
        <v>2430.0000000000005</v>
      </c>
      <c r="D33" s="73">
        <v>1694.0000000000002</v>
      </c>
      <c r="E33" s="73">
        <v>582.53835425383545</v>
      </c>
      <c r="F33" s="73">
        <v>153.46164574616461</v>
      </c>
    </row>
    <row r="34" spans="1:6" x14ac:dyDescent="0.3">
      <c r="A34" s="48" t="s">
        <v>316</v>
      </c>
      <c r="B34" s="71" t="s">
        <v>437</v>
      </c>
      <c r="C34" s="73">
        <f t="shared" ref="C34:C65" si="1">SUM(D34:F34)</f>
        <v>591.97669641720779</v>
      </c>
      <c r="D34" s="73">
        <v>447.41693021076497</v>
      </c>
      <c r="E34" s="73">
        <v>49.393109639874723</v>
      </c>
      <c r="F34" s="73">
        <v>95.166656566568093</v>
      </c>
    </row>
    <row r="35" spans="1:6" x14ac:dyDescent="0.3">
      <c r="A35" s="48" t="s">
        <v>317</v>
      </c>
      <c r="B35" s="47" t="s">
        <v>435</v>
      </c>
      <c r="C35" s="73">
        <f t="shared" si="1"/>
        <v>132.99032913716562</v>
      </c>
      <c r="D35" s="73">
        <v>96.917061020536138</v>
      </c>
      <c r="E35" s="73">
        <v>23.725759286988776</v>
      </c>
      <c r="F35" s="73">
        <v>12.347508829640697</v>
      </c>
    </row>
    <row r="36" spans="1:6" x14ac:dyDescent="0.3">
      <c r="A36" s="48" t="s">
        <v>318</v>
      </c>
      <c r="B36" s="47" t="s">
        <v>432</v>
      </c>
      <c r="C36" s="73">
        <f t="shared" si="1"/>
        <v>1846</v>
      </c>
      <c r="D36" s="73">
        <v>1339</v>
      </c>
      <c r="E36" s="73">
        <v>326.49448818897639</v>
      </c>
      <c r="F36" s="73">
        <v>180.50551181102361</v>
      </c>
    </row>
    <row r="37" spans="1:6" x14ac:dyDescent="0.3">
      <c r="A37" s="57" t="s">
        <v>319</v>
      </c>
      <c r="B37" s="52" t="s">
        <v>393</v>
      </c>
      <c r="C37" s="73">
        <f t="shared" si="1"/>
        <v>241.1289500824418</v>
      </c>
      <c r="D37" s="73">
        <v>223.05223573442208</v>
      </c>
      <c r="E37" s="73">
        <v>5.2745087191105684</v>
      </c>
      <c r="F37" s="73">
        <v>12.802205628909148</v>
      </c>
    </row>
    <row r="38" spans="1:6" x14ac:dyDescent="0.3">
      <c r="A38" s="57" t="s">
        <v>320</v>
      </c>
      <c r="B38" s="56" t="s">
        <v>434</v>
      </c>
      <c r="C38" s="73">
        <f t="shared" si="1"/>
        <v>471.03372274607926</v>
      </c>
      <c r="D38" s="73">
        <v>325.46931777731413</v>
      </c>
      <c r="E38" s="73">
        <v>102.66678666456046</v>
      </c>
      <c r="F38" s="73">
        <v>42.897618304204698</v>
      </c>
    </row>
    <row r="39" spans="1:6" x14ac:dyDescent="0.3">
      <c r="A39" s="71" t="s">
        <v>321</v>
      </c>
      <c r="B39" s="60" t="s">
        <v>435</v>
      </c>
      <c r="C39" s="73">
        <f t="shared" si="1"/>
        <v>139.99642047053854</v>
      </c>
      <c r="D39" s="73">
        <v>132.37245410024994</v>
      </c>
      <c r="E39" s="73">
        <v>5.6132499649377463</v>
      </c>
      <c r="F39" s="73">
        <v>2.0107164053508346</v>
      </c>
    </row>
    <row r="40" spans="1:6" ht="15" thickBot="1" x14ac:dyDescent="0.35">
      <c r="A40" s="62" t="s">
        <v>322</v>
      </c>
      <c r="B40" s="61" t="s">
        <v>434</v>
      </c>
      <c r="C40" s="73">
        <f t="shared" si="1"/>
        <v>511.44561343616658</v>
      </c>
      <c r="D40" s="73">
        <v>435.66730103757897</v>
      </c>
      <c r="E40" s="73">
        <v>23.509536677875062</v>
      </c>
      <c r="F40" s="73">
        <v>52.268775720712512</v>
      </c>
    </row>
    <row r="41" spans="1:6" x14ac:dyDescent="0.3">
      <c r="A41" s="48" t="s">
        <v>323</v>
      </c>
      <c r="B41" s="47" t="s">
        <v>436</v>
      </c>
      <c r="C41" s="73">
        <f t="shared" si="1"/>
        <v>212.43182593275199</v>
      </c>
      <c r="D41" s="73">
        <v>166.37352596979858</v>
      </c>
      <c r="E41" s="73">
        <v>21.400320004549634</v>
      </c>
      <c r="F41" s="73">
        <v>24.657979958403796</v>
      </c>
    </row>
    <row r="42" spans="1:6" x14ac:dyDescent="0.3">
      <c r="A42" s="48" t="s">
        <v>324</v>
      </c>
      <c r="B42" s="47" t="s">
        <v>432</v>
      </c>
      <c r="C42" s="73">
        <f t="shared" si="1"/>
        <v>2092</v>
      </c>
      <c r="D42" s="73">
        <v>1716</v>
      </c>
      <c r="E42" s="73">
        <v>248.83507306889354</v>
      </c>
      <c r="F42" s="73">
        <v>127.16492693110649</v>
      </c>
    </row>
    <row r="43" spans="1:6" x14ac:dyDescent="0.3">
      <c r="A43" s="74" t="s">
        <v>325</v>
      </c>
      <c r="B43" s="71" t="s">
        <v>437</v>
      </c>
      <c r="C43" s="73">
        <f t="shared" si="1"/>
        <v>401.12955793377716</v>
      </c>
      <c r="D43" s="73">
        <v>355.92905122646681</v>
      </c>
      <c r="E43" s="73">
        <v>30.848521000974568</v>
      </c>
      <c r="F43" s="73">
        <v>14.351985706335761</v>
      </c>
    </row>
    <row r="44" spans="1:6" x14ac:dyDescent="0.3">
      <c r="A44" s="74" t="s">
        <v>326</v>
      </c>
      <c r="B44" s="71" t="s">
        <v>437</v>
      </c>
      <c r="C44" s="73">
        <f t="shared" si="1"/>
        <v>115.48587744711868</v>
      </c>
      <c r="D44" s="73">
        <v>114.58125943146048</v>
      </c>
      <c r="E44" s="73">
        <v>0.69176671785627286</v>
      </c>
      <c r="F44" s="73">
        <v>0.21285129780193013</v>
      </c>
    </row>
    <row r="45" spans="1:6" x14ac:dyDescent="0.3">
      <c r="A45" s="74" t="s">
        <v>327</v>
      </c>
      <c r="B45" s="47" t="s">
        <v>437</v>
      </c>
      <c r="C45" s="73">
        <f t="shared" si="1"/>
        <v>463.42938638418576</v>
      </c>
      <c r="D45" s="73">
        <v>301.19697073248204</v>
      </c>
      <c r="E45" s="73">
        <v>95.916074258684262</v>
      </c>
      <c r="F45" s="73">
        <v>66.316341393019471</v>
      </c>
    </row>
    <row r="46" spans="1:6" x14ac:dyDescent="0.3">
      <c r="A46" s="48" t="s">
        <v>328</v>
      </c>
      <c r="B46" s="47" t="s">
        <v>434</v>
      </c>
      <c r="C46" s="73">
        <f t="shared" si="1"/>
        <v>808.68089654197547</v>
      </c>
      <c r="D46" s="73">
        <v>538.81342648414204</v>
      </c>
      <c r="E46" s="73">
        <v>168.7906648826945</v>
      </c>
      <c r="F46" s="73">
        <v>101.07680517513899</v>
      </c>
    </row>
    <row r="47" spans="1:6" x14ac:dyDescent="0.3">
      <c r="A47" s="48" t="s">
        <v>329</v>
      </c>
      <c r="B47" s="47" t="s">
        <v>435</v>
      </c>
      <c r="C47" s="73">
        <f t="shared" si="1"/>
        <v>369.17290597154965</v>
      </c>
      <c r="D47" s="73">
        <v>248.12363249806558</v>
      </c>
      <c r="E47" s="73">
        <v>46.352084417217903</v>
      </c>
      <c r="F47" s="73">
        <v>74.69718905626614</v>
      </c>
    </row>
    <row r="48" spans="1:6" x14ac:dyDescent="0.3">
      <c r="A48" s="74" t="s">
        <v>330</v>
      </c>
      <c r="B48" s="47" t="s">
        <v>436</v>
      </c>
      <c r="C48" s="73">
        <f t="shared" si="1"/>
        <v>334.76138743062654</v>
      </c>
      <c r="D48" s="73">
        <v>281.84260127545605</v>
      </c>
      <c r="E48" s="73">
        <v>33.87623556005093</v>
      </c>
      <c r="F48" s="73">
        <v>19.04255059511954</v>
      </c>
    </row>
    <row r="49" spans="1:6" x14ac:dyDescent="0.3">
      <c r="A49" s="48" t="s">
        <v>331</v>
      </c>
      <c r="B49" s="47" t="s">
        <v>435</v>
      </c>
      <c r="C49" s="73">
        <f t="shared" si="1"/>
        <v>210.92745061518971</v>
      </c>
      <c r="D49" s="73">
        <v>185.62545410315801</v>
      </c>
      <c r="E49" s="73">
        <v>12.801349678413329</v>
      </c>
      <c r="F49" s="73">
        <v>12.500646833618385</v>
      </c>
    </row>
    <row r="50" spans="1:6" x14ac:dyDescent="0.3">
      <c r="A50" s="57" t="s">
        <v>332</v>
      </c>
      <c r="B50" s="47" t="s">
        <v>437</v>
      </c>
      <c r="C50" s="73">
        <f t="shared" si="1"/>
        <v>765</v>
      </c>
      <c r="D50" s="73">
        <v>386.00000000000006</v>
      </c>
      <c r="E50" s="73">
        <v>274.63870726695313</v>
      </c>
      <c r="F50" s="73">
        <v>104.36129273304689</v>
      </c>
    </row>
    <row r="51" spans="1:6" x14ac:dyDescent="0.3">
      <c r="A51" s="74" t="s">
        <v>333</v>
      </c>
      <c r="B51" s="52" t="s">
        <v>437</v>
      </c>
      <c r="C51" s="73">
        <f t="shared" si="1"/>
        <v>50.95045660105297</v>
      </c>
      <c r="D51" s="73">
        <v>48.387462884798083</v>
      </c>
      <c r="E51" s="73">
        <v>2.0290366920351213</v>
      </c>
      <c r="F51" s="73">
        <v>0.53395702421976887</v>
      </c>
    </row>
    <row r="52" spans="1:6" x14ac:dyDescent="0.3">
      <c r="A52" s="57" t="s">
        <v>334</v>
      </c>
      <c r="B52" s="56" t="s">
        <v>434</v>
      </c>
      <c r="C52" s="73">
        <f t="shared" si="1"/>
        <v>318.88815576670618</v>
      </c>
      <c r="D52" s="73">
        <v>226.59281266874976</v>
      </c>
      <c r="E52" s="73">
        <v>68.515165412003356</v>
      </c>
      <c r="F52" s="73">
        <v>23.780177685953056</v>
      </c>
    </row>
    <row r="53" spans="1:6" x14ac:dyDescent="0.3">
      <c r="A53" s="74" t="s">
        <v>335</v>
      </c>
      <c r="B53" s="60" t="s">
        <v>437</v>
      </c>
      <c r="C53" s="73">
        <f t="shared" si="1"/>
        <v>548.13398903864754</v>
      </c>
      <c r="D53" s="73">
        <v>343.72593485378752</v>
      </c>
      <c r="E53" s="73">
        <v>156.33482033191189</v>
      </c>
      <c r="F53" s="73">
        <v>48.073233852948128</v>
      </c>
    </row>
    <row r="54" spans="1:6" ht="15" thickBot="1" x14ac:dyDescent="0.35">
      <c r="A54" s="74" t="s">
        <v>336</v>
      </c>
      <c r="B54" s="61" t="s">
        <v>437</v>
      </c>
      <c r="C54" s="73">
        <f t="shared" si="1"/>
        <v>832.99999999999989</v>
      </c>
      <c r="D54" s="73">
        <v>403.99999999999994</v>
      </c>
      <c r="E54" s="73">
        <v>260.72583750481323</v>
      </c>
      <c r="F54" s="73">
        <v>168.27416249518674</v>
      </c>
    </row>
    <row r="55" spans="1:6" x14ac:dyDescent="0.3">
      <c r="A55" s="48" t="s">
        <v>281</v>
      </c>
      <c r="B55" s="71" t="s">
        <v>433</v>
      </c>
      <c r="C55" s="73">
        <f t="shared" si="1"/>
        <v>1462</v>
      </c>
      <c r="D55" s="73">
        <v>1264</v>
      </c>
      <c r="E55" s="73">
        <v>84.687898089171981</v>
      </c>
      <c r="F55" s="73">
        <v>113.31210191082802</v>
      </c>
    </row>
    <row r="56" spans="1:6" x14ac:dyDescent="0.3">
      <c r="A56" s="48" t="s">
        <v>337</v>
      </c>
      <c r="B56" s="47" t="s">
        <v>432</v>
      </c>
      <c r="C56" s="73">
        <f t="shared" si="1"/>
        <v>564.75902705398539</v>
      </c>
      <c r="D56" s="73">
        <v>483.90482522257537</v>
      </c>
      <c r="E56" s="73">
        <v>55.150912392481345</v>
      </c>
      <c r="F56" s="73">
        <v>25.703289438928717</v>
      </c>
    </row>
    <row r="57" spans="1:6" x14ac:dyDescent="0.3">
      <c r="A57" s="57" t="s">
        <v>338</v>
      </c>
      <c r="B57" s="47" t="s">
        <v>436</v>
      </c>
      <c r="C57" s="73">
        <f t="shared" si="1"/>
        <v>1075.0000000000002</v>
      </c>
      <c r="D57" s="73">
        <v>798.00000000000011</v>
      </c>
      <c r="E57" s="73">
        <v>198.61033256640874</v>
      </c>
      <c r="F57" s="73">
        <v>78.389667433591313</v>
      </c>
    </row>
    <row r="58" spans="1:6" x14ac:dyDescent="0.3">
      <c r="A58" s="57" t="s">
        <v>339</v>
      </c>
      <c r="B58" s="47" t="s">
        <v>432</v>
      </c>
      <c r="C58" s="73">
        <f t="shared" si="1"/>
        <v>4733.9999999999991</v>
      </c>
      <c r="D58" s="73">
        <v>3466.9999999999995</v>
      </c>
      <c r="E58" s="73">
        <v>221.88482290053454</v>
      </c>
      <c r="F58" s="73">
        <v>1045.1151770994654</v>
      </c>
    </row>
    <row r="59" spans="1:6" x14ac:dyDescent="0.3">
      <c r="A59" s="66" t="s">
        <v>340</v>
      </c>
      <c r="B59" s="65" t="s">
        <v>434</v>
      </c>
      <c r="C59" s="73">
        <f t="shared" si="1"/>
        <v>713.12382839543875</v>
      </c>
      <c r="D59" s="73">
        <v>685.36676291240735</v>
      </c>
      <c r="E59" s="73">
        <v>17.947034120535363</v>
      </c>
      <c r="F59" s="73">
        <v>9.8100313624960265</v>
      </c>
    </row>
    <row r="60" spans="1:6" x14ac:dyDescent="0.3">
      <c r="A60" s="71" t="s">
        <v>341</v>
      </c>
      <c r="B60" s="47" t="s">
        <v>434</v>
      </c>
      <c r="C60" s="73">
        <f t="shared" si="1"/>
        <v>395.75213700600688</v>
      </c>
      <c r="D60" s="73">
        <v>380.72368244708082</v>
      </c>
      <c r="E60" s="73">
        <v>14.18069558380715</v>
      </c>
      <c r="F60" s="73">
        <v>0.84775897511890574</v>
      </c>
    </row>
    <row r="61" spans="1:6" x14ac:dyDescent="0.3">
      <c r="A61" s="71" t="s">
        <v>342</v>
      </c>
      <c r="B61" s="47" t="s">
        <v>435</v>
      </c>
      <c r="C61" s="73">
        <f t="shared" si="1"/>
        <v>438.79721392030768</v>
      </c>
      <c r="D61" s="73">
        <v>360.47664998395607</v>
      </c>
      <c r="E61" s="73">
        <v>41.481694805070447</v>
      </c>
      <c r="F61" s="73">
        <v>36.838869131281186</v>
      </c>
    </row>
    <row r="62" spans="1:6" x14ac:dyDescent="0.3">
      <c r="A62" s="74" t="s">
        <v>343</v>
      </c>
      <c r="B62" s="60" t="s">
        <v>437</v>
      </c>
      <c r="C62" s="73">
        <f t="shared" si="1"/>
        <v>785.5738588575407</v>
      </c>
      <c r="D62" s="73">
        <v>613.52281695266038</v>
      </c>
      <c r="E62" s="73">
        <v>66.696063565132235</v>
      </c>
      <c r="F62" s="73">
        <v>105.3549783397481</v>
      </c>
    </row>
    <row r="63" spans="1:6" ht="15" thickBot="1" x14ac:dyDescent="0.35">
      <c r="A63" s="62" t="s">
        <v>344</v>
      </c>
      <c r="B63" s="61" t="s">
        <v>393</v>
      </c>
      <c r="C63" s="73">
        <f t="shared" si="1"/>
        <v>933</v>
      </c>
      <c r="D63" s="73">
        <v>857</v>
      </c>
      <c r="E63" s="73">
        <v>40.771658231616556</v>
      </c>
      <c r="F63" s="73">
        <v>35.228341768383451</v>
      </c>
    </row>
    <row r="64" spans="1:6" x14ac:dyDescent="0.3">
      <c r="A64" s="48" t="s">
        <v>345</v>
      </c>
      <c r="B64" s="47" t="s">
        <v>432</v>
      </c>
      <c r="C64" s="73">
        <f t="shared" si="1"/>
        <v>181.22417178710475</v>
      </c>
      <c r="D64" s="73">
        <v>173.38808366539271</v>
      </c>
      <c r="E64" s="73">
        <v>2.730757981808742</v>
      </c>
      <c r="F64" s="73">
        <v>5.1053301399033</v>
      </c>
    </row>
    <row r="65" spans="1:6" x14ac:dyDescent="0.3">
      <c r="A65" s="48" t="s">
        <v>346</v>
      </c>
      <c r="B65" s="47" t="s">
        <v>434</v>
      </c>
      <c r="C65" s="73">
        <f t="shared" si="1"/>
        <v>378.28217222952708</v>
      </c>
      <c r="D65" s="73">
        <v>291.4589127061368</v>
      </c>
      <c r="E65" s="73">
        <v>47.966930821890948</v>
      </c>
      <c r="F65" s="73">
        <v>38.856328701499322</v>
      </c>
    </row>
    <row r="66" spans="1:6" x14ac:dyDescent="0.3">
      <c r="A66" s="48" t="s">
        <v>347</v>
      </c>
      <c r="B66" s="47" t="s">
        <v>434</v>
      </c>
      <c r="C66" s="73">
        <f t="shared" ref="C66:C97" si="2">SUM(D66:F66)</f>
        <v>872</v>
      </c>
      <c r="D66" s="73">
        <v>789</v>
      </c>
      <c r="E66" s="73">
        <v>42.68293635298712</v>
      </c>
      <c r="F66" s="73">
        <v>40.317063647012894</v>
      </c>
    </row>
    <row r="67" spans="1:6" x14ac:dyDescent="0.3">
      <c r="A67" s="74" t="s">
        <v>348</v>
      </c>
      <c r="B67" s="47" t="s">
        <v>434</v>
      </c>
      <c r="C67" s="73">
        <f t="shared" si="2"/>
        <v>687.72512417430494</v>
      </c>
      <c r="D67" s="73">
        <v>489.89161325901813</v>
      </c>
      <c r="E67" s="73">
        <v>120.08034034625543</v>
      </c>
      <c r="F67" s="73">
        <v>77.753170569031298</v>
      </c>
    </row>
    <row r="68" spans="1:6" x14ac:dyDescent="0.3">
      <c r="A68" s="48" t="s">
        <v>349</v>
      </c>
      <c r="B68" s="47" t="s">
        <v>432</v>
      </c>
      <c r="C68" s="73">
        <f t="shared" si="2"/>
        <v>1205</v>
      </c>
      <c r="D68" s="73">
        <v>969</v>
      </c>
      <c r="E68" s="73">
        <v>148.58659345687482</v>
      </c>
      <c r="F68" s="73">
        <v>87.413406543125134</v>
      </c>
    </row>
    <row r="69" spans="1:6" x14ac:dyDescent="0.3">
      <c r="A69" s="48" t="s">
        <v>350</v>
      </c>
      <c r="B69" s="47" t="s">
        <v>435</v>
      </c>
      <c r="C69" s="73">
        <f t="shared" si="2"/>
        <v>54.527919521440147</v>
      </c>
      <c r="D69" s="73">
        <v>52.764376657792077</v>
      </c>
      <c r="E69" s="73">
        <v>0</v>
      </c>
      <c r="F69" s="73">
        <v>1.763542863648067</v>
      </c>
    </row>
    <row r="70" spans="1:6" x14ac:dyDescent="0.3">
      <c r="A70" s="48" t="s">
        <v>351</v>
      </c>
      <c r="B70" s="47" t="s">
        <v>435</v>
      </c>
      <c r="C70" s="73">
        <f t="shared" si="2"/>
        <v>952</v>
      </c>
      <c r="D70" s="73">
        <v>669</v>
      </c>
      <c r="E70" s="73">
        <v>191.88596637256532</v>
      </c>
      <c r="F70" s="73">
        <v>91.114033627434651</v>
      </c>
    </row>
    <row r="71" spans="1:6" x14ac:dyDescent="0.3">
      <c r="A71" s="48" t="s">
        <v>352</v>
      </c>
      <c r="B71" s="47" t="s">
        <v>434</v>
      </c>
      <c r="C71" s="73">
        <f t="shared" si="2"/>
        <v>1116</v>
      </c>
      <c r="D71" s="73">
        <v>847</v>
      </c>
      <c r="E71" s="73">
        <v>73.427902193784277</v>
      </c>
      <c r="F71" s="73">
        <v>195.57209780621574</v>
      </c>
    </row>
    <row r="72" spans="1:6" x14ac:dyDescent="0.3">
      <c r="A72" s="74" t="s">
        <v>353</v>
      </c>
      <c r="B72" s="71" t="s">
        <v>389</v>
      </c>
      <c r="C72" s="73">
        <f t="shared" si="2"/>
        <v>266.89830284620854</v>
      </c>
      <c r="D72" s="73">
        <v>260.80630952660903</v>
      </c>
      <c r="E72" s="73">
        <v>5.4240115959591924</v>
      </c>
      <c r="F72" s="73">
        <v>0.66798172364029473</v>
      </c>
    </row>
    <row r="73" spans="1:6" x14ac:dyDescent="0.3">
      <c r="A73" s="48" t="s">
        <v>354</v>
      </c>
      <c r="B73" s="47" t="s">
        <v>393</v>
      </c>
      <c r="C73" s="73">
        <f t="shared" si="2"/>
        <v>610.56643019200942</v>
      </c>
      <c r="D73" s="73">
        <v>532.98121222980069</v>
      </c>
      <c r="E73" s="73">
        <v>40.979076484824887</v>
      </c>
      <c r="F73" s="73">
        <v>36.606141477383844</v>
      </c>
    </row>
    <row r="74" spans="1:6" x14ac:dyDescent="0.3">
      <c r="A74" s="48" t="s">
        <v>355</v>
      </c>
      <c r="B74" s="47" t="s">
        <v>436</v>
      </c>
      <c r="C74" s="73">
        <f t="shared" si="2"/>
        <v>54.536292221962576</v>
      </c>
      <c r="D74" s="73">
        <v>52.524672167662139</v>
      </c>
      <c r="E74" s="73">
        <v>0.85493852307768536</v>
      </c>
      <c r="F74" s="73">
        <v>1.1566815312227507</v>
      </c>
    </row>
    <row r="75" spans="1:6" x14ac:dyDescent="0.3">
      <c r="A75" s="74" t="s">
        <v>357</v>
      </c>
      <c r="B75" s="47" t="s">
        <v>436</v>
      </c>
      <c r="C75" s="73">
        <f t="shared" si="2"/>
        <v>307.42914338206987</v>
      </c>
      <c r="D75" s="73">
        <v>274.43497376958948</v>
      </c>
      <c r="E75" s="73">
        <v>13.999103510658099</v>
      </c>
      <c r="F75" s="73">
        <v>18.995066101822324</v>
      </c>
    </row>
    <row r="76" spans="1:6" x14ac:dyDescent="0.3">
      <c r="A76" s="74" t="s">
        <v>358</v>
      </c>
      <c r="B76" s="47" t="s">
        <v>435</v>
      </c>
      <c r="C76" s="73">
        <f t="shared" si="2"/>
        <v>386.67169625700052</v>
      </c>
      <c r="D76" s="73">
        <v>320.37880350005884</v>
      </c>
      <c r="E76" s="73">
        <v>26.931487682507566</v>
      </c>
      <c r="F76" s="73">
        <v>39.361405074434131</v>
      </c>
    </row>
    <row r="77" spans="1:6" x14ac:dyDescent="0.3">
      <c r="A77" s="48" t="s">
        <v>359</v>
      </c>
      <c r="B77" s="47" t="s">
        <v>435</v>
      </c>
      <c r="C77" s="73">
        <f t="shared" si="2"/>
        <v>340.46142068517469</v>
      </c>
      <c r="D77" s="73">
        <v>292.07716262026247</v>
      </c>
      <c r="E77" s="73">
        <v>23.390778294586035</v>
      </c>
      <c r="F77" s="73">
        <v>24.993479770326189</v>
      </c>
    </row>
    <row r="78" spans="1:6" x14ac:dyDescent="0.3">
      <c r="A78" s="48" t="s">
        <v>360</v>
      </c>
      <c r="B78" s="71" t="s">
        <v>360</v>
      </c>
      <c r="C78" s="73">
        <f t="shared" si="2"/>
        <v>7253.9999999999991</v>
      </c>
      <c r="D78" s="73">
        <v>3324.9999999999995</v>
      </c>
      <c r="E78" s="73">
        <v>1652.9652262938641</v>
      </c>
      <c r="F78" s="73">
        <v>2276.0347737061356</v>
      </c>
    </row>
    <row r="79" spans="1:6" x14ac:dyDescent="0.3">
      <c r="A79" s="48" t="s">
        <v>23</v>
      </c>
      <c r="B79" s="47" t="s">
        <v>437</v>
      </c>
      <c r="C79" s="73">
        <f t="shared" si="2"/>
        <v>9918</v>
      </c>
      <c r="D79" s="73">
        <v>6903</v>
      </c>
      <c r="E79" s="73">
        <v>1752.2658979111714</v>
      </c>
      <c r="F79" s="73">
        <v>1262.7341020888286</v>
      </c>
    </row>
    <row r="80" spans="1:6" x14ac:dyDescent="0.3">
      <c r="A80" s="74" t="s">
        <v>361</v>
      </c>
      <c r="B80" s="47" t="s">
        <v>432</v>
      </c>
      <c r="C80" s="73">
        <f t="shared" si="2"/>
        <v>911</v>
      </c>
      <c r="D80" s="73">
        <v>777</v>
      </c>
      <c r="E80" s="73">
        <v>68.181446460516227</v>
      </c>
      <c r="F80" s="73">
        <v>65.818553539483773</v>
      </c>
    </row>
    <row r="81" spans="1:6" x14ac:dyDescent="0.3">
      <c r="A81" s="74" t="s">
        <v>285</v>
      </c>
      <c r="B81" s="47" t="s">
        <v>435</v>
      </c>
      <c r="C81" s="73">
        <f t="shared" si="2"/>
        <v>1133</v>
      </c>
      <c r="D81" s="73">
        <v>672.00000000000011</v>
      </c>
      <c r="E81" s="73">
        <v>281.60447871867115</v>
      </c>
      <c r="F81" s="73">
        <v>179.39552128132877</v>
      </c>
    </row>
    <row r="82" spans="1:6" x14ac:dyDescent="0.3">
      <c r="A82" s="74" t="s">
        <v>362</v>
      </c>
      <c r="B82" s="47" t="s">
        <v>434</v>
      </c>
      <c r="C82" s="73">
        <f t="shared" si="2"/>
        <v>403.47225144708744</v>
      </c>
      <c r="D82" s="73">
        <v>246.62407261259429</v>
      </c>
      <c r="E82" s="73">
        <v>38.044677833451978</v>
      </c>
      <c r="F82" s="73">
        <v>118.8035010010412</v>
      </c>
    </row>
    <row r="83" spans="1:6" x14ac:dyDescent="0.3">
      <c r="A83" s="53" t="s">
        <v>363</v>
      </c>
      <c r="B83" s="52" t="s">
        <v>436</v>
      </c>
      <c r="C83" s="73">
        <f t="shared" si="2"/>
        <v>957.00000000000011</v>
      </c>
      <c r="D83" s="73">
        <v>748.00000000000011</v>
      </c>
      <c r="E83" s="73">
        <v>110.99824214458361</v>
      </c>
      <c r="F83" s="73">
        <v>98.0017578554164</v>
      </c>
    </row>
    <row r="84" spans="1:6" x14ac:dyDescent="0.3">
      <c r="A84" s="74" t="s">
        <v>364</v>
      </c>
      <c r="B84" s="56" t="s">
        <v>434</v>
      </c>
      <c r="C84" s="73">
        <f t="shared" si="2"/>
        <v>1331</v>
      </c>
      <c r="D84" s="73">
        <v>883</v>
      </c>
      <c r="E84" s="73">
        <v>326.30004732607665</v>
      </c>
      <c r="F84" s="73">
        <v>121.69995267392333</v>
      </c>
    </row>
    <row r="85" spans="1:6" x14ac:dyDescent="0.3">
      <c r="A85" s="74" t="s">
        <v>21</v>
      </c>
      <c r="B85" s="60" t="s">
        <v>437</v>
      </c>
      <c r="C85" s="73">
        <f t="shared" si="2"/>
        <v>1169</v>
      </c>
      <c r="D85" s="73">
        <v>722.99999999999989</v>
      </c>
      <c r="E85" s="73">
        <v>215.80051572975759</v>
      </c>
      <c r="F85" s="73">
        <v>230.19948427024241</v>
      </c>
    </row>
    <row r="86" spans="1:6" ht="15" thickBot="1" x14ac:dyDescent="0.35">
      <c r="A86" s="62" t="s">
        <v>365</v>
      </c>
      <c r="B86" s="61" t="s">
        <v>393</v>
      </c>
      <c r="C86" s="73">
        <f t="shared" si="2"/>
        <v>3131.0000000000005</v>
      </c>
      <c r="D86" s="73">
        <v>2763.0000000000005</v>
      </c>
      <c r="E86" s="73">
        <v>186.17045543316928</v>
      </c>
      <c r="F86" s="73">
        <v>181.82954456683075</v>
      </c>
    </row>
    <row r="87" spans="1:6" x14ac:dyDescent="0.3">
      <c r="A87" s="48" t="s">
        <v>366</v>
      </c>
      <c r="B87" s="47" t="s">
        <v>437</v>
      </c>
      <c r="C87" s="73">
        <f t="shared" si="2"/>
        <v>422.68731099937975</v>
      </c>
      <c r="D87" s="73">
        <v>357.43054019258915</v>
      </c>
      <c r="E87" s="73">
        <v>43.596373064333953</v>
      </c>
      <c r="F87" s="73">
        <v>21.660397742456691</v>
      </c>
    </row>
    <row r="88" spans="1:6" x14ac:dyDescent="0.3">
      <c r="A88" s="48" t="s">
        <v>367</v>
      </c>
      <c r="B88" s="47" t="s">
        <v>436</v>
      </c>
      <c r="C88" s="73">
        <f t="shared" si="2"/>
        <v>201.47991468737405</v>
      </c>
      <c r="D88" s="73">
        <v>111.37935463467136</v>
      </c>
      <c r="E88" s="73">
        <v>41.735543703342216</v>
      </c>
      <c r="F88" s="73">
        <v>48.365016349360474</v>
      </c>
    </row>
    <row r="89" spans="1:6" x14ac:dyDescent="0.3">
      <c r="A89" s="48" t="s">
        <v>368</v>
      </c>
      <c r="B89" s="47" t="s">
        <v>393</v>
      </c>
      <c r="C89" s="73">
        <f t="shared" si="2"/>
        <v>161.94347009895603</v>
      </c>
      <c r="D89" s="73">
        <v>141.99571110670078</v>
      </c>
      <c r="E89" s="73">
        <v>9.424354455018662</v>
      </c>
      <c r="F89" s="73">
        <v>10.523404537236582</v>
      </c>
    </row>
    <row r="90" spans="1:6" x14ac:dyDescent="0.3">
      <c r="A90" s="48" t="s">
        <v>299</v>
      </c>
      <c r="B90" s="71" t="s">
        <v>393</v>
      </c>
      <c r="C90" s="73">
        <f t="shared" si="2"/>
        <v>215.74774105362755</v>
      </c>
      <c r="D90" s="73">
        <v>186.90346130184372</v>
      </c>
      <c r="E90" s="73">
        <v>14.738137682112152</v>
      </c>
      <c r="F90" s="73">
        <v>14.106142069671666</v>
      </c>
    </row>
    <row r="91" spans="1:6" x14ac:dyDescent="0.3">
      <c r="A91" s="74" t="s">
        <v>369</v>
      </c>
      <c r="B91" s="47" t="s">
        <v>435</v>
      </c>
      <c r="C91" s="73">
        <f t="shared" si="2"/>
        <v>480.00000000000006</v>
      </c>
      <c r="D91" s="73">
        <v>328.00000000000006</v>
      </c>
      <c r="E91" s="73">
        <v>102.15864022662889</v>
      </c>
      <c r="F91" s="73">
        <v>49.841359773371103</v>
      </c>
    </row>
    <row r="92" spans="1:6" x14ac:dyDescent="0.3">
      <c r="A92" s="74" t="s">
        <v>390</v>
      </c>
      <c r="B92" s="47" t="s">
        <v>433</v>
      </c>
      <c r="C92" s="73">
        <f t="shared" si="2"/>
        <v>125.93989785726544</v>
      </c>
      <c r="D92" s="73">
        <v>113.13680335186119</v>
      </c>
      <c r="E92" s="73">
        <v>6.348641903506234</v>
      </c>
      <c r="F92" s="73">
        <v>6.4544526018980051</v>
      </c>
    </row>
    <row r="93" spans="1:6" x14ac:dyDescent="0.3">
      <c r="A93" s="74" t="s">
        <v>370</v>
      </c>
      <c r="B93" s="71" t="s">
        <v>389</v>
      </c>
      <c r="C93" s="73">
        <f t="shared" si="2"/>
        <v>487.7149682737994</v>
      </c>
      <c r="D93" s="73">
        <v>470.29477399486876</v>
      </c>
      <c r="E93" s="73">
        <v>6.8742129563450458</v>
      </c>
      <c r="F93" s="73">
        <v>10.545981322585572</v>
      </c>
    </row>
    <row r="94" spans="1:6" x14ac:dyDescent="0.3">
      <c r="A94" s="48" t="s">
        <v>371</v>
      </c>
      <c r="B94" s="47" t="s">
        <v>437</v>
      </c>
      <c r="C94" s="73">
        <f t="shared" si="2"/>
        <v>1420</v>
      </c>
      <c r="D94" s="73">
        <v>715</v>
      </c>
      <c r="E94" s="73">
        <v>385.09895645915805</v>
      </c>
      <c r="F94" s="73">
        <v>319.90104354084207</v>
      </c>
    </row>
    <row r="95" spans="1:6" x14ac:dyDescent="0.3">
      <c r="A95" s="48" t="s">
        <v>372</v>
      </c>
      <c r="B95" s="47" t="s">
        <v>436</v>
      </c>
      <c r="C95" s="73">
        <f t="shared" si="2"/>
        <v>213.05374455123192</v>
      </c>
      <c r="D95" s="73">
        <v>172.95641480061582</v>
      </c>
      <c r="E95" s="73">
        <v>20.179360213478237</v>
      </c>
      <c r="F95" s="73">
        <v>19.917969537137846</v>
      </c>
    </row>
    <row r="96" spans="1:6" x14ac:dyDescent="0.3">
      <c r="A96" s="48" t="s">
        <v>373</v>
      </c>
      <c r="B96" s="71" t="s">
        <v>432</v>
      </c>
      <c r="C96" s="73">
        <f t="shared" si="2"/>
        <v>577</v>
      </c>
      <c r="D96" s="73">
        <v>404</v>
      </c>
      <c r="E96" s="73">
        <v>134.60808964197869</v>
      </c>
      <c r="F96" s="73">
        <v>38.39191035802132</v>
      </c>
    </row>
    <row r="97" spans="1:6" x14ac:dyDescent="0.3">
      <c r="A97" s="57" t="s">
        <v>374</v>
      </c>
      <c r="B97" s="71" t="s">
        <v>389</v>
      </c>
      <c r="C97" s="73">
        <f t="shared" si="2"/>
        <v>1906</v>
      </c>
      <c r="D97" s="73">
        <v>1801</v>
      </c>
      <c r="E97" s="73">
        <v>34.448245092207017</v>
      </c>
      <c r="F97" s="73">
        <v>70.551754907792969</v>
      </c>
    </row>
    <row r="98" spans="1:6" x14ac:dyDescent="0.3">
      <c r="A98" s="57" t="s">
        <v>375</v>
      </c>
      <c r="B98" s="71" t="s">
        <v>389</v>
      </c>
      <c r="C98" s="73">
        <f t="shared" ref="C98:C118" si="3">SUM(D98:F98)</f>
        <v>1538</v>
      </c>
      <c r="D98" s="73">
        <v>1358</v>
      </c>
      <c r="E98" s="73">
        <v>38.884410768982754</v>
      </c>
      <c r="F98" s="73">
        <v>141.11558923101725</v>
      </c>
    </row>
    <row r="99" spans="1:6" x14ac:dyDescent="0.3">
      <c r="A99" s="48" t="s">
        <v>376</v>
      </c>
      <c r="B99" s="47" t="s">
        <v>434</v>
      </c>
      <c r="C99" s="73">
        <f t="shared" si="3"/>
        <v>2122</v>
      </c>
      <c r="D99" s="73">
        <v>834.00000000000011</v>
      </c>
      <c r="E99" s="73">
        <v>686.68823342848077</v>
      </c>
      <c r="F99" s="73">
        <v>601.31176657151923</v>
      </c>
    </row>
    <row r="100" spans="1:6" x14ac:dyDescent="0.3">
      <c r="A100" s="48" t="s">
        <v>377</v>
      </c>
      <c r="B100" s="71" t="s">
        <v>393</v>
      </c>
      <c r="C100" s="73">
        <f t="shared" si="3"/>
        <v>503.88342885019074</v>
      </c>
      <c r="D100" s="73">
        <v>483.09564009089183</v>
      </c>
      <c r="E100" s="73">
        <v>15.898151193051216</v>
      </c>
      <c r="F100" s="73">
        <v>4.8896375662477105</v>
      </c>
    </row>
    <row r="101" spans="1:6" x14ac:dyDescent="0.3">
      <c r="A101" s="53" t="s">
        <v>378</v>
      </c>
      <c r="B101" s="52" t="s">
        <v>435</v>
      </c>
      <c r="C101" s="73">
        <f t="shared" si="3"/>
        <v>75.18043363908572</v>
      </c>
      <c r="D101" s="73">
        <v>71.574031778576753</v>
      </c>
      <c r="E101" s="73">
        <v>2.5160943212853213</v>
      </c>
      <c r="F101" s="73">
        <v>1.0903075392236394</v>
      </c>
    </row>
    <row r="102" spans="1:6" x14ac:dyDescent="0.3">
      <c r="A102" s="57" t="s">
        <v>379</v>
      </c>
      <c r="B102" s="56" t="s">
        <v>433</v>
      </c>
      <c r="C102" s="73">
        <f t="shared" si="3"/>
        <v>45.670464389152293</v>
      </c>
      <c r="D102" s="73">
        <v>37.091833573303369</v>
      </c>
      <c r="E102" s="73">
        <v>5.1801732234164675</v>
      </c>
      <c r="F102" s="73">
        <v>3.3984575924324592</v>
      </c>
    </row>
    <row r="103" spans="1:6" x14ac:dyDescent="0.3">
      <c r="A103" s="74" t="s">
        <v>396</v>
      </c>
      <c r="B103" s="52" t="s">
        <v>432</v>
      </c>
      <c r="C103" s="73">
        <f t="shared" si="3"/>
        <v>18931.728479919897</v>
      </c>
      <c r="D103" s="73">
        <v>14478.193477214432</v>
      </c>
      <c r="E103" s="73">
        <v>1867.3394894863739</v>
      </c>
      <c r="F103" s="73">
        <v>2586.1955132190888</v>
      </c>
    </row>
    <row r="104" spans="1:6" x14ac:dyDescent="0.3">
      <c r="A104" s="74" t="s">
        <v>398</v>
      </c>
      <c r="B104" s="56" t="s">
        <v>434</v>
      </c>
      <c r="C104" s="73">
        <f t="shared" si="3"/>
        <v>20586.224275338605</v>
      </c>
      <c r="D104" s="73">
        <v>15901.086278665854</v>
      </c>
      <c r="E104" s="73">
        <v>2464.8053169920022</v>
      </c>
      <c r="F104" s="73">
        <v>2220.3326796807501</v>
      </c>
    </row>
    <row r="105" spans="1:6" x14ac:dyDescent="0.3">
      <c r="A105" s="74" t="s">
        <v>395</v>
      </c>
      <c r="B105" s="60" t="s">
        <v>436</v>
      </c>
      <c r="C105" s="73">
        <f t="shared" si="3"/>
        <v>5381.0059704932391</v>
      </c>
      <c r="D105" s="73">
        <v>4370.883880660931</v>
      </c>
      <c r="E105" s="73">
        <v>578.05467548329068</v>
      </c>
      <c r="F105" s="73">
        <v>432.06741434901733</v>
      </c>
    </row>
    <row r="106" spans="1:6" ht="15" thickBot="1" x14ac:dyDescent="0.35">
      <c r="A106" s="74" t="s">
        <v>391</v>
      </c>
      <c r="B106" s="61" t="s">
        <v>433</v>
      </c>
      <c r="C106" s="73">
        <f t="shared" si="3"/>
        <v>2599.2312661013502</v>
      </c>
      <c r="D106" s="73">
        <v>2336.5857189486655</v>
      </c>
      <c r="E106" s="73">
        <v>111.60244606487818</v>
      </c>
      <c r="F106" s="73">
        <v>151.04310108780632</v>
      </c>
    </row>
    <row r="107" spans="1:6" x14ac:dyDescent="0.3">
      <c r="A107" s="74" t="s">
        <v>399</v>
      </c>
      <c r="B107" s="47" t="s">
        <v>435</v>
      </c>
      <c r="C107" s="73">
        <f t="shared" si="3"/>
        <v>7334.9210236249419</v>
      </c>
      <c r="D107" s="73">
        <v>5434.2247892255245</v>
      </c>
      <c r="E107" s="73">
        <v>1105.5233105786194</v>
      </c>
      <c r="F107" s="73">
        <v>795.17292382079825</v>
      </c>
    </row>
    <row r="108" spans="1:6" x14ac:dyDescent="0.3">
      <c r="A108" s="74" t="s">
        <v>397</v>
      </c>
      <c r="B108" s="47" t="s">
        <v>437</v>
      </c>
      <c r="C108" s="73">
        <f t="shared" si="3"/>
        <v>19637.301474671847</v>
      </c>
      <c r="D108" s="73">
        <v>13257.351517970243</v>
      </c>
      <c r="E108" s="73">
        <v>3642.6489817697075</v>
      </c>
      <c r="F108" s="73">
        <v>2737.300974931894</v>
      </c>
    </row>
    <row r="109" spans="1:6" x14ac:dyDescent="0.3">
      <c r="A109" s="74" t="s">
        <v>392</v>
      </c>
      <c r="B109" s="71" t="s">
        <v>389</v>
      </c>
      <c r="C109" s="73">
        <f t="shared" si="3"/>
        <v>7214.5110175401433</v>
      </c>
      <c r="D109" s="73">
        <v>6723.8786598423803</v>
      </c>
      <c r="E109" s="73">
        <v>184.56967200337741</v>
      </c>
      <c r="F109" s="73">
        <v>306.0626856943851</v>
      </c>
    </row>
    <row r="110" spans="1:6" x14ac:dyDescent="0.3">
      <c r="A110" s="74" t="s">
        <v>394</v>
      </c>
      <c r="B110" s="71" t="s">
        <v>393</v>
      </c>
      <c r="C110" s="73">
        <f t="shared" si="3"/>
        <v>9226.3149216174752</v>
      </c>
      <c r="D110" s="73">
        <v>8463.9800977920004</v>
      </c>
      <c r="E110" s="73">
        <v>393.51817581927861</v>
      </c>
      <c r="F110" s="73">
        <v>368.81664800619467</v>
      </c>
    </row>
    <row r="111" spans="1:6" x14ac:dyDescent="0.3">
      <c r="A111" s="74" t="s">
        <v>380</v>
      </c>
      <c r="B111" s="71" t="s">
        <v>432</v>
      </c>
      <c r="C111" s="73">
        <f t="shared" si="3"/>
        <v>2256.7117115756178</v>
      </c>
      <c r="D111" s="73">
        <v>1969.2030690943755</v>
      </c>
      <c r="E111" s="73">
        <v>160.23742950317359</v>
      </c>
      <c r="F111" s="73">
        <v>127.27121297806873</v>
      </c>
    </row>
    <row r="112" spans="1:6" x14ac:dyDescent="0.3">
      <c r="A112" s="74" t="s">
        <v>381</v>
      </c>
      <c r="B112" s="71" t="s">
        <v>434</v>
      </c>
      <c r="C112" s="73">
        <f t="shared" si="3"/>
        <v>3178.9556046581793</v>
      </c>
      <c r="D112" s="73">
        <v>2742.2349552705614</v>
      </c>
      <c r="E112" s="73">
        <v>230.38574515446476</v>
      </c>
      <c r="F112" s="73">
        <v>206.33490423315294</v>
      </c>
    </row>
    <row r="113" spans="1:6" x14ac:dyDescent="0.3">
      <c r="A113" s="74" t="s">
        <v>382</v>
      </c>
      <c r="B113" s="71" t="s">
        <v>436</v>
      </c>
      <c r="C113" s="73">
        <f t="shared" si="3"/>
        <v>1551.8306673268612</v>
      </c>
      <c r="D113" s="73">
        <v>1388.3114421001853</v>
      </c>
      <c r="E113" s="73">
        <v>92.704577080127919</v>
      </c>
      <c r="F113" s="73">
        <v>70.814648146547995</v>
      </c>
    </row>
    <row r="114" spans="1:6" x14ac:dyDescent="0.3">
      <c r="A114" s="74" t="s">
        <v>383</v>
      </c>
      <c r="B114" s="47" t="s">
        <v>433</v>
      </c>
      <c r="C114" s="73">
        <f t="shared" si="3"/>
        <v>528.9227999109778</v>
      </c>
      <c r="D114" s="73">
        <v>498.56693227953593</v>
      </c>
      <c r="E114" s="73">
        <v>11.414552685183558</v>
      </c>
      <c r="F114" s="73">
        <v>18.941314946258274</v>
      </c>
    </row>
    <row r="115" spans="1:6" x14ac:dyDescent="0.3">
      <c r="A115" s="74" t="s">
        <v>384</v>
      </c>
      <c r="B115" s="52" t="s">
        <v>435</v>
      </c>
      <c r="C115" s="73">
        <f t="shared" si="3"/>
        <v>712.92727378797338</v>
      </c>
      <c r="D115" s="73">
        <v>643.38876883807313</v>
      </c>
      <c r="E115" s="73">
        <v>34.212601881139364</v>
      </c>
      <c r="F115" s="73">
        <v>35.325903068760915</v>
      </c>
    </row>
    <row r="116" spans="1:6" x14ac:dyDescent="0.3">
      <c r="A116" s="74" t="s">
        <v>385</v>
      </c>
      <c r="B116" s="56" t="s">
        <v>437</v>
      </c>
      <c r="C116" s="73">
        <f t="shared" si="3"/>
        <v>919.37324581407722</v>
      </c>
      <c r="D116" s="73">
        <v>800.76919120623381</v>
      </c>
      <c r="E116" s="73">
        <v>57.366191010322417</v>
      </c>
      <c r="F116" s="73">
        <v>61.237863597520985</v>
      </c>
    </row>
    <row r="117" spans="1:6" x14ac:dyDescent="0.3">
      <c r="A117" s="74" t="s">
        <v>386</v>
      </c>
      <c r="B117" s="60" t="s">
        <v>389</v>
      </c>
      <c r="C117" s="73">
        <f t="shared" si="3"/>
        <v>360.78782885357674</v>
      </c>
      <c r="D117" s="73">
        <v>348.57144227245016</v>
      </c>
      <c r="E117" s="73">
        <v>8.152940298278498</v>
      </c>
      <c r="F117" s="73">
        <v>4.0634462828480693</v>
      </c>
    </row>
    <row r="118" spans="1:6" ht="15" thickBot="1" x14ac:dyDescent="0.35">
      <c r="A118" s="74" t="s">
        <v>387</v>
      </c>
      <c r="B118" s="61" t="s">
        <v>393</v>
      </c>
      <c r="C118" s="73">
        <f t="shared" si="3"/>
        <v>3075.2892835332837</v>
      </c>
      <c r="D118" s="73">
        <v>2948.6462571618308</v>
      </c>
      <c r="E118" s="73">
        <v>62.710463578825376</v>
      </c>
      <c r="F118" s="73">
        <v>63.932562792627472</v>
      </c>
    </row>
  </sheetData>
  <sortState xmlns:xlrd2="http://schemas.microsoft.com/office/spreadsheetml/2017/richdata2" ref="A2:G236">
    <sortCondition ref="A2:A2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5FFA-5583-47CB-BEDF-EED17FDF3575}">
  <sheetPr codeName="Sheet1"/>
  <dimension ref="A1:M36"/>
  <sheetViews>
    <sheetView tabSelected="1" zoomScale="90" zoomScaleNormal="90" workbookViewId="0">
      <selection activeCell="C32" sqref="C32"/>
    </sheetView>
  </sheetViews>
  <sheetFormatPr defaultRowHeight="14.4" x14ac:dyDescent="0.3"/>
  <cols>
    <col min="1" max="1" width="47.77734375" style="104" customWidth="1"/>
    <col min="2" max="2" width="11.6640625" style="104" customWidth="1"/>
    <col min="3" max="3" width="12.6640625" style="104" customWidth="1"/>
    <col min="4" max="4" width="18.5546875" style="104" customWidth="1"/>
    <col min="5" max="5" width="14.77734375" style="104" customWidth="1"/>
    <col min="6" max="6" width="21" style="104" bestFit="1" customWidth="1"/>
    <col min="7" max="7" width="16.109375" style="104" customWidth="1"/>
    <col min="8" max="8" width="17" style="104" customWidth="1"/>
    <col min="9" max="9" width="12.88671875" style="104" customWidth="1"/>
    <col min="10" max="10" width="17.21875" style="104" customWidth="1"/>
    <col min="11" max="11" width="14.88671875" style="104" customWidth="1"/>
    <col min="12" max="12" width="23.5546875" style="104" customWidth="1"/>
    <col min="13" max="16384" width="8.88671875" style="104"/>
  </cols>
  <sheetData>
    <row r="1" spans="1:7" ht="18" x14ac:dyDescent="0.35">
      <c r="A1" s="540" t="str">
        <f>CONCATENATE("Policy Impact Forecast for ",B5,", ",B4," County")</f>
        <v>Policy Impact Forecast for z-All Alameda, Alameda County</v>
      </c>
      <c r="B1" s="540"/>
      <c r="C1" s="540"/>
      <c r="D1" s="540"/>
      <c r="E1" s="540"/>
      <c r="F1" s="168"/>
      <c r="G1" s="168"/>
    </row>
    <row r="2" spans="1:7" ht="8.4" customHeight="1" thickBot="1" x14ac:dyDescent="0.35">
      <c r="A2" s="101"/>
      <c r="B2" s="101"/>
    </row>
    <row r="3" spans="1:7" x14ac:dyDescent="0.3">
      <c r="A3" s="542" t="s">
        <v>19</v>
      </c>
      <c r="B3" s="543"/>
      <c r="C3" s="105"/>
    </row>
    <row r="4" spans="1:7" x14ac:dyDescent="0.3">
      <c r="A4" s="525" t="s">
        <v>20</v>
      </c>
      <c r="B4" s="526" t="s">
        <v>278</v>
      </c>
      <c r="C4" s="105"/>
      <c r="D4" s="213" t="s">
        <v>511</v>
      </c>
    </row>
    <row r="5" spans="1:7" x14ac:dyDescent="0.3">
      <c r="A5" s="525" t="s">
        <v>22</v>
      </c>
      <c r="B5" s="526" t="s">
        <v>396</v>
      </c>
      <c r="C5" s="105"/>
      <c r="D5" s="213" t="s">
        <v>510</v>
      </c>
    </row>
    <row r="6" spans="1:7" ht="15" thickBot="1" x14ac:dyDescent="0.35">
      <c r="A6" s="527" t="s">
        <v>652</v>
      </c>
      <c r="B6" s="528">
        <f>'Housing Stock Defaults'!B5</f>
        <v>3</v>
      </c>
      <c r="C6" s="105"/>
    </row>
    <row r="7" spans="1:7" ht="9" customHeight="1" thickBot="1" x14ac:dyDescent="0.35">
      <c r="A7" s="171"/>
      <c r="B7" s="102"/>
      <c r="C7" s="172"/>
      <c r="D7" s="101"/>
      <c r="E7" s="101"/>
    </row>
    <row r="8" spans="1:7" x14ac:dyDescent="0.3">
      <c r="A8" s="194"/>
      <c r="B8" s="195"/>
      <c r="C8" s="195"/>
      <c r="D8" s="544" t="s">
        <v>24</v>
      </c>
      <c r="E8" s="545"/>
      <c r="F8" s="105"/>
    </row>
    <row r="9" spans="1:7" x14ac:dyDescent="0.3">
      <c r="A9" s="196" t="s">
        <v>25</v>
      </c>
      <c r="B9" s="197" t="s">
        <v>26</v>
      </c>
      <c r="C9" s="197" t="s">
        <v>27</v>
      </c>
      <c r="D9" s="197" t="s">
        <v>28</v>
      </c>
      <c r="E9" s="198" t="s">
        <v>29</v>
      </c>
      <c r="F9" s="105"/>
    </row>
    <row r="10" spans="1:7" x14ac:dyDescent="0.3">
      <c r="A10" s="176" t="s">
        <v>30</v>
      </c>
      <c r="B10" s="243"/>
      <c r="C10" s="244">
        <v>2021</v>
      </c>
      <c r="D10" s="245">
        <v>0</v>
      </c>
      <c r="E10" s="246">
        <v>1</v>
      </c>
      <c r="F10" s="105"/>
    </row>
    <row r="11" spans="1:7" x14ac:dyDescent="0.3">
      <c r="A11" s="177" t="s">
        <v>31</v>
      </c>
      <c r="B11" s="243"/>
      <c r="C11" s="244">
        <v>2022</v>
      </c>
      <c r="D11" s="245">
        <v>0.3</v>
      </c>
      <c r="E11" s="246">
        <v>0.9</v>
      </c>
      <c r="F11" s="105"/>
    </row>
    <row r="12" spans="1:7" x14ac:dyDescent="0.3">
      <c r="A12" s="177" t="s">
        <v>32</v>
      </c>
      <c r="B12" s="243"/>
      <c r="C12" s="244">
        <v>2022</v>
      </c>
      <c r="D12" s="245">
        <v>0</v>
      </c>
      <c r="E12" s="247">
        <v>1</v>
      </c>
      <c r="F12" s="105"/>
    </row>
    <row r="13" spans="1:7" x14ac:dyDescent="0.3">
      <c r="A13" s="177" t="s">
        <v>33</v>
      </c>
      <c r="B13" s="243"/>
      <c r="C13" s="244">
        <v>2022</v>
      </c>
      <c r="D13" s="245">
        <v>0</v>
      </c>
      <c r="E13" s="254">
        <f>IF(controls!$B$3,$E$11,$D$11)</f>
        <v>0.9</v>
      </c>
      <c r="F13" s="105"/>
    </row>
    <row r="14" spans="1:7" x14ac:dyDescent="0.3">
      <c r="A14" s="177" t="s">
        <v>34</v>
      </c>
      <c r="B14" s="243"/>
      <c r="C14" s="244">
        <v>2022</v>
      </c>
      <c r="D14" s="245">
        <v>0</v>
      </c>
      <c r="E14" s="246">
        <v>1</v>
      </c>
      <c r="F14" s="105"/>
    </row>
    <row r="15" spans="1:7" x14ac:dyDescent="0.3">
      <c r="A15" s="177" t="s">
        <v>35</v>
      </c>
      <c r="B15" s="243"/>
      <c r="C15" s="244">
        <v>2022</v>
      </c>
      <c r="D15" s="520">
        <v>0</v>
      </c>
      <c r="E15" s="254">
        <f>IF(controls!$B$3,$E$11,$D$11)</f>
        <v>0.9</v>
      </c>
      <c r="F15" s="105"/>
    </row>
    <row r="16" spans="1:7" ht="15" thickBot="1" x14ac:dyDescent="0.35">
      <c r="A16" s="178" t="s">
        <v>36</v>
      </c>
      <c r="B16" s="248"/>
      <c r="C16" s="244">
        <v>2045</v>
      </c>
      <c r="D16" s="521">
        <v>0</v>
      </c>
      <c r="E16" s="249">
        <v>1</v>
      </c>
      <c r="F16" s="105"/>
    </row>
    <row r="17" spans="1:11" ht="7.8" customHeight="1" thickBot="1" x14ac:dyDescent="0.35">
      <c r="A17" s="102"/>
      <c r="B17" s="102"/>
      <c r="C17" s="103"/>
      <c r="D17" s="173"/>
      <c r="E17" s="174"/>
    </row>
    <row r="18" spans="1:11" ht="15" thickBot="1" x14ac:dyDescent="0.35">
      <c r="A18" s="202" t="s">
        <v>37</v>
      </c>
      <c r="B18" s="250"/>
      <c r="C18" s="105"/>
      <c r="D18" s="101"/>
      <c r="E18" s="101"/>
    </row>
    <row r="19" spans="1:11" x14ac:dyDescent="0.3">
      <c r="A19" s="203" t="s">
        <v>38</v>
      </c>
      <c r="B19" s="251"/>
      <c r="C19" s="106"/>
      <c r="D19" s="546" t="s">
        <v>644</v>
      </c>
      <c r="E19" s="549">
        <f>IFERROR(MIN(('stock-flow model'!E28-'stock-flow model'!F28)/('stock-flow model'!E28-'stock-flow model'!N28),1),0)</f>
        <v>1</v>
      </c>
      <c r="F19" s="105"/>
    </row>
    <row r="20" spans="1:11" x14ac:dyDescent="0.3">
      <c r="A20" s="176" t="s">
        <v>451</v>
      </c>
      <c r="B20" s="252">
        <v>2030</v>
      </c>
      <c r="C20" s="190"/>
      <c r="D20" s="547"/>
      <c r="E20" s="550"/>
      <c r="F20" s="172"/>
      <c r="G20" s="101"/>
      <c r="H20" s="101"/>
      <c r="I20" s="101"/>
      <c r="J20" s="101"/>
      <c r="K20" s="101"/>
    </row>
    <row r="21" spans="1:11" ht="15" thickBot="1" x14ac:dyDescent="0.35">
      <c r="A21" s="204" t="s">
        <v>450</v>
      </c>
      <c r="B21" s="253">
        <v>2045</v>
      </c>
      <c r="C21" s="190"/>
      <c r="D21" s="548"/>
      <c r="E21" s="551"/>
      <c r="F21" s="172"/>
      <c r="G21" s="101"/>
      <c r="H21" s="101"/>
      <c r="I21" s="101"/>
      <c r="J21" s="101"/>
      <c r="K21" s="101"/>
    </row>
    <row r="22" spans="1:11" x14ac:dyDescent="0.3">
      <c r="A22" s="102"/>
      <c r="B22" s="102"/>
      <c r="C22" s="101"/>
      <c r="D22" s="102"/>
      <c r="E22" s="102"/>
      <c r="F22" s="101"/>
      <c r="G22" s="101"/>
      <c r="H22" s="101"/>
      <c r="I22" s="101"/>
      <c r="J22" s="101"/>
      <c r="K22" s="101"/>
    </row>
    <row r="23" spans="1:11" ht="15" thickBot="1" x14ac:dyDescent="0.35">
      <c r="A23" s="101"/>
      <c r="B23" s="101"/>
      <c r="C23" s="101"/>
      <c r="D23" s="101"/>
      <c r="E23" s="101"/>
      <c r="F23" s="101"/>
      <c r="G23" s="101"/>
      <c r="H23" s="101"/>
      <c r="I23" s="101"/>
      <c r="J23" s="101"/>
      <c r="K23" s="101"/>
    </row>
    <row r="24" spans="1:11" x14ac:dyDescent="0.3">
      <c r="A24" s="552" t="s">
        <v>39</v>
      </c>
      <c r="B24" s="553"/>
      <c r="C24" s="553"/>
      <c r="D24" s="553"/>
      <c r="E24" s="553"/>
      <c r="F24" s="553"/>
      <c r="G24" s="553"/>
      <c r="H24" s="553"/>
      <c r="I24" s="553"/>
      <c r="J24" s="554"/>
      <c r="K24" s="105"/>
    </row>
    <row r="25" spans="1:11" ht="16.2" customHeight="1" x14ac:dyDescent="0.3">
      <c r="A25" s="199"/>
      <c r="B25" s="193"/>
      <c r="C25" s="200" t="s">
        <v>40</v>
      </c>
      <c r="D25" s="200" t="s">
        <v>41</v>
      </c>
      <c r="E25" s="200" t="s">
        <v>42</v>
      </c>
      <c r="F25" s="200" t="s">
        <v>43</v>
      </c>
      <c r="G25" s="200" t="s">
        <v>44</v>
      </c>
      <c r="H25" s="200" t="s">
        <v>45</v>
      </c>
      <c r="I25" s="200" t="s">
        <v>46</v>
      </c>
      <c r="J25" s="201" t="s">
        <v>445</v>
      </c>
      <c r="K25" s="105"/>
    </row>
    <row r="26" spans="1:11" x14ac:dyDescent="0.3">
      <c r="A26" s="179" t="s">
        <v>31</v>
      </c>
      <c r="B26" s="175"/>
      <c r="C26" s="180">
        <f>'1-code compliance'!C11</f>
        <v>18931.728479919897</v>
      </c>
      <c r="D26" s="181">
        <f>'1-code compliance'!C12</f>
        <v>7572691.3919679588</v>
      </c>
      <c r="E26" s="541" t="s">
        <v>47</v>
      </c>
      <c r="F26" s="541"/>
      <c r="G26" s="541"/>
      <c r="H26" s="180">
        <f>'1-code compliance'!C10*E11</f>
        <v>371993.84870338428</v>
      </c>
      <c r="I26" s="182">
        <f>H26/'Housing Stock Profile'!$D$14</f>
        <v>0.9</v>
      </c>
      <c r="J26" s="214">
        <f>IF(I26&gt;0,1/I26,"NA")</f>
        <v>1.1111111111111112</v>
      </c>
      <c r="K26" s="105"/>
    </row>
    <row r="27" spans="1:11" x14ac:dyDescent="0.3">
      <c r="A27" s="179" t="s">
        <v>32</v>
      </c>
      <c r="B27" s="175"/>
      <c r="C27" s="180">
        <f>'2-energy assessment'!C21</f>
        <v>18931.728479919897</v>
      </c>
      <c r="D27" s="181">
        <f>'2-energy assessment'!C22</f>
        <v>946586.42399599485</v>
      </c>
      <c r="E27" s="180">
        <f>'2-energy assessment'!C29</f>
        <v>669.57043837385561</v>
      </c>
      <c r="F27" s="180">
        <f>'2-energy assessment'!C30</f>
        <v>37.669156579058971</v>
      </c>
      <c r="G27" s="180">
        <f>'2-energy assessment'!C31</f>
        <v>207.63916731500674</v>
      </c>
      <c r="H27" s="180">
        <f>'2-energy assessment'!C19*E12*(controls!B4)</f>
        <v>18931.728479919897</v>
      </c>
      <c r="I27" s="182">
        <f>H27/'Housing Stock Profile'!$D$14</f>
        <v>4.5803326295091221E-2</v>
      </c>
      <c r="J27" s="214">
        <f t="shared" ref="J27:J30" si="0">IF(I27&gt;0,1/I27,"NA")</f>
        <v>21.832475518424758</v>
      </c>
      <c r="K27" s="105"/>
    </row>
    <row r="28" spans="1:11" x14ac:dyDescent="0.3">
      <c r="A28" s="179" t="s">
        <v>33</v>
      </c>
      <c r="B28" s="175"/>
      <c r="C28" s="180">
        <f>'3-time of replacement'!C13</f>
        <v>24035.308934609373</v>
      </c>
      <c r="D28" s="183">
        <f>'3-time of replacement'!$C14</f>
        <v>9614123.5738437492</v>
      </c>
      <c r="E28" s="180">
        <f>'3-time of replacement'!$C$20</f>
        <v>-24328.918953669632</v>
      </c>
      <c r="F28" s="180">
        <f>'3-time of replacement'!$C$21</f>
        <v>4438.4105870306312</v>
      </c>
      <c r="G28" s="180">
        <f>'3-time of replacement'!$C$22</f>
        <v>23194.19147890095</v>
      </c>
      <c r="H28" s="180">
        <f>'3-time of replacement'!C13</f>
        <v>24035.308934609373</v>
      </c>
      <c r="I28" s="182">
        <f>H28/'Housing Stock Profile'!$D$14</f>
        <v>5.8150902539243085E-2</v>
      </c>
      <c r="J28" s="214">
        <f t="shared" si="0"/>
        <v>17.196637650209315</v>
      </c>
      <c r="K28" s="105"/>
    </row>
    <row r="29" spans="1:11" x14ac:dyDescent="0.3">
      <c r="A29" s="179" t="s">
        <v>34</v>
      </c>
      <c r="B29" s="175"/>
      <c r="C29" s="180">
        <f>'4-time of renovation'!C20</f>
        <v>900</v>
      </c>
      <c r="D29" s="183">
        <f>'4-time of renovation'!C21</f>
        <v>360000</v>
      </c>
      <c r="E29" s="180">
        <f>'4-time of renovation'!C27</f>
        <v>-77.088149652997657</v>
      </c>
      <c r="F29" s="180">
        <f>'4-time of renovation'!C28</f>
        <v>163.16387707520911</v>
      </c>
      <c r="G29" s="180">
        <f>'4-time of renovation'!C29</f>
        <v>860.11128531054965</v>
      </c>
      <c r="H29" s="180">
        <f>'4-time of renovation'!C19*E14*(controls!B6)</f>
        <v>900</v>
      </c>
      <c r="I29" s="182">
        <f>H29/'Housing Stock Profile'!$D$14</f>
        <v>2.1774553606822341E-3</v>
      </c>
      <c r="J29" s="214">
        <f t="shared" si="0"/>
        <v>459.25166506590648</v>
      </c>
      <c r="K29" s="105"/>
    </row>
    <row r="30" spans="1:11" ht="15" thickBot="1" x14ac:dyDescent="0.35">
      <c r="A30" s="184" t="s">
        <v>35</v>
      </c>
      <c r="B30" s="185"/>
      <c r="C30" s="186">
        <f>'5-performance standards'!C19</f>
        <v>12827.259115502487</v>
      </c>
      <c r="D30" s="187">
        <f>'5-performance standards'!C20</f>
        <v>5130903.646200995</v>
      </c>
      <c r="E30" s="186">
        <f>'5-performance standards'!C26</f>
        <v>10384.698806351342</v>
      </c>
      <c r="F30" s="186">
        <f>'5-performance standards'!C27</f>
        <v>312.3912055113384</v>
      </c>
      <c r="G30" s="186">
        <f>'5-performance standards'!C28</f>
        <v>1854.097971111421</v>
      </c>
      <c r="H30" s="186">
        <f>(controls!B7)*'5-performance standards'!$C$18*$E$15/'5-performance standards'!$C$7</f>
        <v>11544.533203952238</v>
      </c>
      <c r="I30" s="188">
        <f>H30/'Housing Stock Profile'!$D$14</f>
        <v>2.7930784123910941E-2</v>
      </c>
      <c r="J30" s="215">
        <f t="shared" si="0"/>
        <v>35.802790052855038</v>
      </c>
      <c r="K30" s="105"/>
    </row>
    <row r="31" spans="1:11" x14ac:dyDescent="0.3">
      <c r="A31" s="103"/>
      <c r="B31" s="103"/>
      <c r="C31" s="103"/>
      <c r="D31" s="103"/>
      <c r="E31" s="103"/>
      <c r="F31" s="103"/>
      <c r="G31" s="103"/>
      <c r="H31" s="103"/>
      <c r="I31" s="103"/>
      <c r="J31" s="103"/>
      <c r="K31" s="103"/>
    </row>
    <row r="33" spans="5:13" x14ac:dyDescent="0.3">
      <c r="E33" s="169"/>
      <c r="F33" s="169"/>
      <c r="G33" s="169"/>
    </row>
    <row r="34" spans="5:13" x14ac:dyDescent="0.3">
      <c r="E34" s="169"/>
      <c r="F34" s="169"/>
      <c r="G34" s="169"/>
    </row>
    <row r="35" spans="5:13" x14ac:dyDescent="0.3">
      <c r="F35" s="170"/>
    </row>
    <row r="36" spans="5:13" x14ac:dyDescent="0.3">
      <c r="M36" s="104">
        <f>M25-M26</f>
        <v>0</v>
      </c>
    </row>
  </sheetData>
  <mergeCells count="7">
    <mergeCell ref="A1:E1"/>
    <mergeCell ref="E26:G26"/>
    <mergeCell ref="A3:B3"/>
    <mergeCell ref="D8:E8"/>
    <mergeCell ref="D19:D21"/>
    <mergeCell ref="E19:E21"/>
    <mergeCell ref="A24:J24"/>
  </mergeCells>
  <dataValidations count="3">
    <dataValidation type="list" allowBlank="1" showInputMessage="1" showErrorMessage="1" sqref="E17" xr:uid="{698AC459-B18B-4C77-B9B9-08CCCAD6ADBD}">
      <formula1>"Yes, No"</formula1>
    </dataValidation>
    <dataValidation type="whole" allowBlank="1" showInputMessage="1" showErrorMessage="1" prompt="Enter a year between 2021 and 2045" sqref="B21 C10:C16" xr:uid="{A920894E-579A-4149-8FB9-EB8EFCA4FC61}">
      <formula1>2021</formula1>
      <formula2>2045</formula2>
    </dataValidation>
    <dataValidation type="whole" allowBlank="1" showInputMessage="1" showErrorMessage="1" error="Enter a year between 2021 and 2045" prompt="Enter a year between 2021 and 2045" sqref="B20" xr:uid="{056C3900-A4E3-4F76-A5F8-C3FBB0455014}">
      <formula1>2021</formula1>
      <formula2>2045</formula2>
    </dataValidation>
  </dataValidations>
  <hyperlinks>
    <hyperlink ref="A11" location="'1-code compliance'!A1" display="1 - Code Compliance" xr:uid="{97C2BB3B-9A35-473C-A67B-D45C2AF75C0B}"/>
    <hyperlink ref="A12" location="'2-energy assessment'!A1" display="2- Energy Assessment &amp; Disclosure" xr:uid="{E5DCD972-69BF-47E4-BF19-163C4A229A23}"/>
    <hyperlink ref="A13" location="'3-time of replacement'!A1" display="3- Upgrade @ Time of Equipment Replacement" xr:uid="{72842229-4EBA-4BB2-AD47-C49F76C23D05}"/>
    <hyperlink ref="A14" location="'4-time of renovation'!A1" display="4- Upgrade @ Time of Major Renovation" xr:uid="{D92CB012-6B5B-4059-9B96-45A12DE4436B}"/>
    <hyperlink ref="A15" location="'5-performance standards'!A1" display="5- Building Performance Standards" xr:uid="{2BFD7BF3-A641-4C62-90A8-36B88BF86553}"/>
    <hyperlink ref="D4" location="'Housing Stock Profile'!A1" display="Customize Housing Stock Inputs" xr:uid="{2AED71C6-7D4B-45FB-BB94-673F5A5A8F58}"/>
    <hyperlink ref="D5" location="'Appliance Stock Profile'!A1" display="Customize Appliance Inputs" xr:uid="{558E538D-449D-41EE-940E-EBD0357A0378}"/>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1</xdr:col>
                    <xdr:colOff>220980</xdr:colOff>
                    <xdr:row>8</xdr:row>
                    <xdr:rowOff>182880</xdr:rowOff>
                  </from>
                  <to>
                    <xdr:col>1</xdr:col>
                    <xdr:colOff>502920</xdr:colOff>
                    <xdr:row>9</xdr:row>
                    <xdr:rowOff>167640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1</xdr:col>
                    <xdr:colOff>220980</xdr:colOff>
                    <xdr:row>10</xdr:row>
                    <xdr:rowOff>0</xdr:rowOff>
                  </from>
                  <to>
                    <xdr:col>1</xdr:col>
                    <xdr:colOff>502920</xdr:colOff>
                    <xdr:row>10</xdr:row>
                    <xdr:rowOff>167640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xdr:col>
                    <xdr:colOff>220980</xdr:colOff>
                    <xdr:row>11</xdr:row>
                    <xdr:rowOff>0</xdr:rowOff>
                  </from>
                  <to>
                    <xdr:col>1</xdr:col>
                    <xdr:colOff>502920</xdr:colOff>
                    <xdr:row>11</xdr:row>
                    <xdr:rowOff>167640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1</xdr:col>
                    <xdr:colOff>220980</xdr:colOff>
                    <xdr:row>12</xdr:row>
                    <xdr:rowOff>0</xdr:rowOff>
                  </from>
                  <to>
                    <xdr:col>1</xdr:col>
                    <xdr:colOff>502920</xdr:colOff>
                    <xdr:row>12</xdr:row>
                    <xdr:rowOff>167640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220980</xdr:colOff>
                    <xdr:row>13</xdr:row>
                    <xdr:rowOff>0</xdr:rowOff>
                  </from>
                  <to>
                    <xdr:col>1</xdr:col>
                    <xdr:colOff>502920</xdr:colOff>
                    <xdr:row>13</xdr:row>
                    <xdr:rowOff>167640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xdr:col>
                    <xdr:colOff>220980</xdr:colOff>
                    <xdr:row>14</xdr:row>
                    <xdr:rowOff>0</xdr:rowOff>
                  </from>
                  <to>
                    <xdr:col>1</xdr:col>
                    <xdr:colOff>502920</xdr:colOff>
                    <xdr:row>14</xdr:row>
                    <xdr:rowOff>167640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xdr:col>
                    <xdr:colOff>220980</xdr:colOff>
                    <xdr:row>15</xdr:row>
                    <xdr:rowOff>0</xdr:rowOff>
                  </from>
                  <to>
                    <xdr:col>1</xdr:col>
                    <xdr:colOff>502920</xdr:colOff>
                    <xdr:row>15</xdr:row>
                    <xdr:rowOff>167640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xdr:col>
                    <xdr:colOff>220980</xdr:colOff>
                    <xdr:row>17</xdr:row>
                    <xdr:rowOff>0</xdr:rowOff>
                  </from>
                  <to>
                    <xdr:col>1</xdr:col>
                    <xdr:colOff>502920</xdr:colOff>
                    <xdr:row>17</xdr:row>
                    <xdr:rowOff>167640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220980</xdr:colOff>
                    <xdr:row>18</xdr:row>
                    <xdr:rowOff>0</xdr:rowOff>
                  </from>
                  <to>
                    <xdr:col>1</xdr:col>
                    <xdr:colOff>502920</xdr:colOff>
                    <xdr:row>18</xdr:row>
                    <xdr:rowOff>167640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Select the County first, then select the City" xr:uid="{796577BE-8163-4C06-AB69-01D8AAB4973F}">
          <x14:formula1>
            <xm:f>'city county lists'!$M$1:$M$9</xm:f>
          </x14:formula1>
          <xm:sqref>B4</xm:sqref>
        </x14:dataValidation>
        <x14:dataValidation type="list" allowBlank="1" showInputMessage="1" showErrorMessage="1" prompt="Select the County first, then select the City." xr:uid="{62DE0092-850A-4A25-899B-1B54E3F5D9A6}">
          <x14:formula1>
            <xm:f>'city county lists'!$B$2:$B$23</xm:f>
          </x14:formula1>
          <xm:sqref>B5</xm:sqref>
        </x14:dataValidation>
        <x14:dataValidation type="list" allowBlank="1" showInputMessage="1" showErrorMessage="1" prompt="Select the County first, then select the City" xr:uid="{9163A9BF-71B4-4A92-8555-1D92D2CAB5FE}">
          <x14:formula1>
            <xm:f>'city county lists'!$B$2:$B$23</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98878-9976-46CC-8B33-32F76D484276}">
  <sheetPr codeName="Sheet17"/>
  <dimension ref="A1:AQ29"/>
  <sheetViews>
    <sheetView topLeftCell="A2" workbookViewId="0">
      <selection activeCell="A9" sqref="A9"/>
    </sheetView>
  </sheetViews>
  <sheetFormatPr defaultRowHeight="14.4" x14ac:dyDescent="0.3"/>
  <cols>
    <col min="1" max="3" width="8.88671875" style="82"/>
    <col min="4" max="41" width="0" style="82" hidden="1" customWidth="1"/>
    <col min="42" max="42" width="8.88671875" style="82"/>
  </cols>
  <sheetData>
    <row r="1" spans="1:43" s="82" customFormat="1" x14ac:dyDescent="0.3">
      <c r="A1" s="216"/>
      <c r="B1" s="217"/>
      <c r="C1" s="217"/>
      <c r="E1" s="556" t="s">
        <v>528</v>
      </c>
      <c r="F1" s="556"/>
      <c r="G1" s="556"/>
      <c r="H1" s="556"/>
      <c r="I1" s="556"/>
      <c r="J1" s="556"/>
      <c r="K1" s="556"/>
      <c r="L1" s="555" t="s">
        <v>529</v>
      </c>
      <c r="M1" s="555"/>
      <c r="N1" s="555"/>
      <c r="O1" s="555"/>
      <c r="P1" s="555"/>
      <c r="Q1" s="555"/>
      <c r="R1" s="555"/>
      <c r="S1" s="556" t="s">
        <v>532</v>
      </c>
      <c r="T1" s="556"/>
      <c r="U1" s="556"/>
      <c r="V1" s="556"/>
      <c r="W1" s="556"/>
      <c r="X1" s="556"/>
      <c r="Y1" s="556"/>
      <c r="Z1" s="555" t="s">
        <v>530</v>
      </c>
      <c r="AA1" s="555"/>
      <c r="AB1" s="555"/>
      <c r="AC1" s="555"/>
      <c r="AD1" s="555"/>
      <c r="AE1" s="555"/>
      <c r="AF1" s="555"/>
      <c r="AG1" s="556" t="s">
        <v>531</v>
      </c>
      <c r="AH1" s="556"/>
      <c r="AI1" s="556"/>
      <c r="AJ1" s="556"/>
      <c r="AK1" s="556"/>
      <c r="AL1" s="556"/>
      <c r="AM1" s="556"/>
      <c r="AN1" s="217"/>
      <c r="AO1" s="217"/>
      <c r="AP1" s="218"/>
    </row>
    <row r="2" spans="1:43" ht="101.4" customHeight="1" x14ac:dyDescent="0.3">
      <c r="A2" s="90" t="s">
        <v>110</v>
      </c>
      <c r="B2" s="90" t="s">
        <v>111</v>
      </c>
      <c r="C2" s="91" t="s">
        <v>121</v>
      </c>
      <c r="D2" s="91" t="s">
        <v>123</v>
      </c>
      <c r="E2" s="226" t="s">
        <v>486</v>
      </c>
      <c r="F2" s="226" t="s">
        <v>487</v>
      </c>
      <c r="G2" s="226" t="s">
        <v>488</v>
      </c>
      <c r="H2" s="226" t="s">
        <v>489</v>
      </c>
      <c r="I2" s="226" t="s">
        <v>490</v>
      </c>
      <c r="J2" s="226" t="s">
        <v>491</v>
      </c>
      <c r="K2" s="226" t="s">
        <v>492</v>
      </c>
      <c r="L2" s="91" t="s">
        <v>493</v>
      </c>
      <c r="M2" s="91" t="s">
        <v>494</v>
      </c>
      <c r="N2" s="91" t="s">
        <v>495</v>
      </c>
      <c r="O2" s="91" t="s">
        <v>496</v>
      </c>
      <c r="P2" s="91" t="s">
        <v>497</v>
      </c>
      <c r="Q2" s="91" t="s">
        <v>498</v>
      </c>
      <c r="R2" s="91" t="s">
        <v>499</v>
      </c>
      <c r="S2" s="228" t="s">
        <v>521</v>
      </c>
      <c r="T2" s="228" t="s">
        <v>522</v>
      </c>
      <c r="U2" s="226" t="s">
        <v>523</v>
      </c>
      <c r="V2" s="228" t="s">
        <v>524</v>
      </c>
      <c r="W2" s="226" t="s">
        <v>525</v>
      </c>
      <c r="X2" s="226" t="s">
        <v>526</v>
      </c>
      <c r="Y2" s="226" t="s">
        <v>527</v>
      </c>
      <c r="Z2" s="91" t="s">
        <v>486</v>
      </c>
      <c r="AA2" s="91" t="s">
        <v>487</v>
      </c>
      <c r="AB2" s="91" t="s">
        <v>488</v>
      </c>
      <c r="AC2" s="91" t="s">
        <v>489</v>
      </c>
      <c r="AD2" s="91" t="s">
        <v>490</v>
      </c>
      <c r="AE2" s="91" t="s">
        <v>491</v>
      </c>
      <c r="AF2" s="91" t="s">
        <v>492</v>
      </c>
      <c r="AG2" s="226" t="s">
        <v>493</v>
      </c>
      <c r="AH2" s="226" t="s">
        <v>494</v>
      </c>
      <c r="AI2" s="226" t="s">
        <v>495</v>
      </c>
      <c r="AJ2" s="226" t="s">
        <v>496</v>
      </c>
      <c r="AK2" s="226" t="s">
        <v>497</v>
      </c>
      <c r="AL2" s="226" t="s">
        <v>498</v>
      </c>
      <c r="AM2" s="226" t="s">
        <v>499</v>
      </c>
      <c r="AN2" s="91" t="s">
        <v>124</v>
      </c>
      <c r="AO2" s="90" t="s">
        <v>125</v>
      </c>
      <c r="AP2" s="90" t="s">
        <v>122</v>
      </c>
      <c r="AQ2" t="s">
        <v>656</v>
      </c>
    </row>
    <row r="3" spans="1:43" x14ac:dyDescent="0.3">
      <c r="A3" s="92">
        <v>2020</v>
      </c>
      <c r="B3" s="5"/>
      <c r="C3" s="84">
        <f>OccupiedUnits</f>
        <v>413326.49855931586</v>
      </c>
      <c r="D3" s="84">
        <f t="shared" ref="D3:D28" si="0">$C3*RentalSaturation</f>
        <v>128272.59115502487</v>
      </c>
      <c r="E3" s="227">
        <f>SUM($B$3:B3)*FurnaceSaturation</f>
        <v>0</v>
      </c>
      <c r="F3" s="227">
        <f>SUM($B$3:B3)*DHWSaturation</f>
        <v>0</v>
      </c>
      <c r="G3" s="227">
        <f>SUM($B$3:B3)</f>
        <v>0</v>
      </c>
      <c r="H3" s="227">
        <f>SUM($B$3:B3)</f>
        <v>0</v>
      </c>
      <c r="I3" s="227">
        <f>SUM($B$3:B3)-E3</f>
        <v>0</v>
      </c>
      <c r="J3" s="227">
        <f>SUM($B$3:B3)-F3</f>
        <v>0</v>
      </c>
      <c r="K3" s="227">
        <f>SUM($B$3:B3)</f>
        <v>0</v>
      </c>
      <c r="L3" s="84">
        <f t="shared" ref="L3" si="1">($C$3-$B$3)*FurnaceSaturation</f>
        <v>313301.48590796144</v>
      </c>
      <c r="M3" s="84">
        <f t="shared" ref="M3" si="2">($C$3-$B$3)*DHWSaturation</f>
        <v>372820.50170050294</v>
      </c>
      <c r="N3" s="84">
        <f>$C$3-$B$3</f>
        <v>413326.49855931586</v>
      </c>
      <c r="O3" s="84">
        <f>'Appliance Stock Profile'!$B$12</f>
        <v>106638.23662830349</v>
      </c>
      <c r="P3" s="84">
        <f>$C$3-$B$3-$L$3</f>
        <v>100025.01265135442</v>
      </c>
      <c r="Q3" s="84">
        <f>$C$3-$B$3-$M$3</f>
        <v>40505.996858812927</v>
      </c>
      <c r="R3" s="84">
        <f>$C$3-$B$3</f>
        <v>413326.49855931586</v>
      </c>
      <c r="S3" s="227">
        <f>L3*FurnaceReplaceRate</f>
        <v>15665.074295398073</v>
      </c>
      <c r="T3" s="227">
        <f>M3*DHWReplaceRate</f>
        <v>33892.772881863901</v>
      </c>
      <c r="U3" s="227">
        <v>0</v>
      </c>
      <c r="V3" s="227">
        <f>O3*ACReplaceRate</f>
        <v>7109.2157752202329</v>
      </c>
      <c r="W3" s="227">
        <f>P3*HPReplaceRate</f>
        <v>6668.3341767569618</v>
      </c>
      <c r="X3" s="227">
        <f>Q3*HPWHReplaceRate</f>
        <v>4050.5996858812928</v>
      </c>
      <c r="Y3" s="227">
        <v>0</v>
      </c>
      <c r="Z3" s="84">
        <f>E3+SUM(S$3:S3)</f>
        <v>15665.074295398073</v>
      </c>
      <c r="AA3" s="84">
        <f>F3+SUM(T$3:T3)</f>
        <v>33892.772881863901</v>
      </c>
      <c r="AB3" s="84">
        <f>G3+SUM(U$3:U3)</f>
        <v>0</v>
      </c>
      <c r="AC3" s="84">
        <f>H3+SUM(V$3:V3)</f>
        <v>7109.2157752202329</v>
      </c>
      <c r="AD3" s="84">
        <f>I3+SUM(W$3:W3)</f>
        <v>6668.3341767569618</v>
      </c>
      <c r="AE3" s="84">
        <f>J3+SUM(X$3:X3)</f>
        <v>4050.5996858812928</v>
      </c>
      <c r="AF3" s="84">
        <f>K3+SUM(Y$3:Y3)</f>
        <v>0</v>
      </c>
      <c r="AG3" s="227">
        <f>L$3-SUM(S$3:S3)</f>
        <v>297636.41161256336</v>
      </c>
      <c r="AH3" s="227">
        <f>M$3-SUM(T$3:T3)</f>
        <v>338927.72881863907</v>
      </c>
      <c r="AI3" s="227">
        <f>N$3-SUM(U$3:U3)</f>
        <v>413326.49855931586</v>
      </c>
      <c r="AJ3" s="227">
        <f>O$3-SUM(V$3:V3)</f>
        <v>99529.020853083261</v>
      </c>
      <c r="AK3" s="227">
        <f>P$3-SUM(W$3:W3)</f>
        <v>93356.678474597458</v>
      </c>
      <c r="AL3" s="227">
        <f>Q$3-SUM(X$3:X3)</f>
        <v>36455.397172931633</v>
      </c>
      <c r="AM3" s="227">
        <f>R$3-SUM(Y$3:Y3)</f>
        <v>413326.49855931586</v>
      </c>
      <c r="AN3" s="84">
        <f t="shared" ref="AN3:AN28" si="3">$C3*HomeResaleRate</f>
        <v>18931.728479919897</v>
      </c>
      <c r="AO3" s="84">
        <f t="shared" ref="AO3:AO28" si="4">$C3*RenovationRate</f>
        <v>3932.4035119467148</v>
      </c>
      <c r="AP3" s="85">
        <f>(GasEmissions*SUMPRODUCT(GasUEC_NEW,Z3:AB3)+'stock-flow model'!$B2*SUMPRODUCT(ElecUEC_NEW,AC3:AF3)/1000)+(GasEmissions*SUMPRODUCT(GasUECs,AG3:AI3)+'stock-flow model'!$B2*SUMPRODUCT(ElecUECs,AJ3:AM3)/1000)</f>
        <v>1096122.7763067521</v>
      </c>
      <c r="AQ3" s="530">
        <f>AP3/C3</f>
        <v>2.6519537947055896</v>
      </c>
    </row>
    <row r="4" spans="1:43" x14ac:dyDescent="0.3">
      <c r="A4" s="92">
        <v>2021</v>
      </c>
      <c r="B4" s="86">
        <f>'Housing Stock Profile'!$D$18</f>
        <v>1600.8907869099392</v>
      </c>
      <c r="C4" s="86">
        <f t="shared" ref="C4:C28" si="5">C3+$B4</f>
        <v>414927.38934622583</v>
      </c>
      <c r="D4" s="84">
        <f t="shared" si="0"/>
        <v>128769.41487697088</v>
      </c>
      <c r="E4" s="227">
        <f>SUM($B$3:B4)*FurnaceSaturation</f>
        <v>1213.475216477734</v>
      </c>
      <c r="F4" s="227">
        <f>SUM($B$3:B4)*DHWSaturation</f>
        <v>1444.0034897927651</v>
      </c>
      <c r="G4" s="227">
        <f>SUM($B$3:B4)</f>
        <v>1600.8907869099392</v>
      </c>
      <c r="H4" s="227">
        <f>SUM($B$3:B4)</f>
        <v>1600.8907869099392</v>
      </c>
      <c r="I4" s="227">
        <f>SUM($B$3:B4)-E4</f>
        <v>387.41557043220519</v>
      </c>
      <c r="J4" s="227">
        <f>SUM($B$3:B4)-F4</f>
        <v>156.88729711717406</v>
      </c>
      <c r="K4" s="227">
        <f>SUM($B$3:B4)</f>
        <v>1600.8907869099392</v>
      </c>
      <c r="L4" s="84"/>
      <c r="M4" s="84"/>
      <c r="N4" s="84"/>
      <c r="O4" s="84"/>
      <c r="P4" s="84"/>
      <c r="Q4" s="84"/>
      <c r="R4" s="84"/>
      <c r="S4" s="227">
        <f t="shared" ref="S4:S28" si="6">AG3*FurnaceReplaceRate</f>
        <v>14881.820580628169</v>
      </c>
      <c r="T4" s="227">
        <f t="shared" ref="T4:T28" si="7">AH3*DHWReplaceRate</f>
        <v>30811.611710785372</v>
      </c>
      <c r="U4" s="227">
        <v>0</v>
      </c>
      <c r="V4" s="227">
        <f t="shared" ref="V4:V28" si="8">AJ3*ACReplaceRate</f>
        <v>6635.2680568722171</v>
      </c>
      <c r="W4" s="227">
        <f t="shared" ref="W4:W28" si="9">AK3*HPReplaceRate</f>
        <v>6223.7785649731641</v>
      </c>
      <c r="X4" s="227">
        <f t="shared" ref="X4:X28" si="10">AL3*HPWHReplaceRate</f>
        <v>3645.5397172931634</v>
      </c>
      <c r="Y4" s="227">
        <v>0</v>
      </c>
      <c r="Z4" s="84">
        <f>E4+SUM(S$3:S4)</f>
        <v>31760.370092503978</v>
      </c>
      <c r="AA4" s="84">
        <f>F4+SUM(T$3:T4)</f>
        <v>66148.388082442034</v>
      </c>
      <c r="AB4" s="84">
        <f>G4+SUM(U$3:U4)</f>
        <v>1600.8907869099392</v>
      </c>
      <c r="AC4" s="84">
        <f>H4+SUM(V$3:V4)</f>
        <v>15345.374619002388</v>
      </c>
      <c r="AD4" s="84">
        <f>I4+SUM(W$3:W4)</f>
        <v>13279.528312162331</v>
      </c>
      <c r="AE4" s="84">
        <f>J4+SUM(X$3:X4)</f>
        <v>7853.0267002916307</v>
      </c>
      <c r="AF4" s="84">
        <f>K4+SUM(Y$3:Y4)</f>
        <v>1600.8907869099392</v>
      </c>
      <c r="AG4" s="227">
        <f>L$3-SUM(S$3:S4)</f>
        <v>282754.59103193518</v>
      </c>
      <c r="AH4" s="227">
        <f>M$3-SUM(T$3:T4)</f>
        <v>308116.11710785364</v>
      </c>
      <c r="AI4" s="227">
        <f>N$3-SUM(U$3:U4)</f>
        <v>413326.49855931586</v>
      </c>
      <c r="AJ4" s="227">
        <f>O$3-SUM(V$3:V4)</f>
        <v>92893.752796211047</v>
      </c>
      <c r="AK4" s="227">
        <f>P$3-SUM(W$3:W4)</f>
        <v>87132.899909624306</v>
      </c>
      <c r="AL4" s="227">
        <f>Q$3-SUM(X$3:X4)</f>
        <v>32809.85745563847</v>
      </c>
      <c r="AM4" s="227">
        <f>R$3-SUM(Y$3:Y4)</f>
        <v>413326.49855931586</v>
      </c>
      <c r="AN4" s="84">
        <f t="shared" si="3"/>
        <v>19005.054602995537</v>
      </c>
      <c r="AO4" s="84">
        <f t="shared" si="4"/>
        <v>3947.6344457838404</v>
      </c>
      <c r="AP4" s="85">
        <f>(GasEmissions*SUMPRODUCT(GasUEC_NEW,Z4:AB4)+'stock-flow model'!$B3*SUMPRODUCT(ElecUEC_NEW,AC4:AF4)/1000)+(GasEmissions*SUMPRODUCT(GasUECs,AG4:AI4)+'stock-flow model'!$B3*SUMPRODUCT(ElecUECs,AJ4:AM4)/1000)</f>
        <v>1063472.1106892985</v>
      </c>
    </row>
    <row r="5" spans="1:43" x14ac:dyDescent="0.3">
      <c r="A5" s="92">
        <v>2022</v>
      </c>
      <c r="B5" s="86">
        <f>'Housing Stock Profile'!$D$18</f>
        <v>1600.8907869099392</v>
      </c>
      <c r="C5" s="86">
        <f t="shared" si="5"/>
        <v>416528.28013313579</v>
      </c>
      <c r="D5" s="84">
        <f t="shared" si="0"/>
        <v>129266.23859891688</v>
      </c>
      <c r="E5" s="227">
        <f>SUM($B$3:B5)*FurnaceSaturation</f>
        <v>2426.9504329554679</v>
      </c>
      <c r="F5" s="227">
        <f>SUM($B$3:B5)*DHWSaturation</f>
        <v>2888.0069795855302</v>
      </c>
      <c r="G5" s="227">
        <f>SUM($B$3:B5)</f>
        <v>3201.7815738198783</v>
      </c>
      <c r="H5" s="227">
        <f>SUM($B$3:B5)</f>
        <v>3201.7815738198783</v>
      </c>
      <c r="I5" s="227">
        <f>SUM($B$3:B5)-E5</f>
        <v>774.83114086441037</v>
      </c>
      <c r="J5" s="227">
        <f>SUM($B$3:B5)-F5</f>
        <v>313.77459423434811</v>
      </c>
      <c r="K5" s="227">
        <f>SUM($B$3:B5)</f>
        <v>3201.7815738198783</v>
      </c>
      <c r="L5" s="84"/>
      <c r="M5" s="84"/>
      <c r="N5" s="84"/>
      <c r="O5" s="84"/>
      <c r="P5" s="84"/>
      <c r="Q5" s="84"/>
      <c r="R5" s="84"/>
      <c r="S5" s="227">
        <f t="shared" si="6"/>
        <v>14137.72955159676</v>
      </c>
      <c r="T5" s="227">
        <f t="shared" si="7"/>
        <v>28010.556100713969</v>
      </c>
      <c r="U5" s="227">
        <v>0</v>
      </c>
      <c r="V5" s="227">
        <f t="shared" si="8"/>
        <v>6192.9168530807365</v>
      </c>
      <c r="W5" s="227">
        <f t="shared" si="9"/>
        <v>5808.8599939749538</v>
      </c>
      <c r="X5" s="227">
        <f t="shared" si="10"/>
        <v>3280.9857455638471</v>
      </c>
      <c r="Y5" s="227">
        <v>0</v>
      </c>
      <c r="Z5" s="84">
        <f>E5+SUM(S$3:S5)</f>
        <v>47111.574860578468</v>
      </c>
      <c r="AA5" s="84">
        <f>F5+SUM(T$3:T5)</f>
        <v>95602.947672948765</v>
      </c>
      <c r="AB5" s="84">
        <f>G5+SUM(U$3:U5)</f>
        <v>3201.7815738198783</v>
      </c>
      <c r="AC5" s="84">
        <f>H5+SUM(V$3:V5)</f>
        <v>23139.182258993063</v>
      </c>
      <c r="AD5" s="84">
        <f>I5+SUM(W$3:W5)</f>
        <v>19475.803876569491</v>
      </c>
      <c r="AE5" s="84">
        <f>J5+SUM(X$3:X5)</f>
        <v>11290.899742972651</v>
      </c>
      <c r="AF5" s="84">
        <f>K5+SUM(Y$3:Y5)</f>
        <v>3201.7815738198783</v>
      </c>
      <c r="AG5" s="227">
        <f>L$3-SUM(S$3:S5)</f>
        <v>268616.86148033844</v>
      </c>
      <c r="AH5" s="227">
        <f>M$3-SUM(T$3:T5)</f>
        <v>280105.56100713968</v>
      </c>
      <c r="AI5" s="227">
        <f>N$3-SUM(U$3:U5)</f>
        <v>413326.49855931586</v>
      </c>
      <c r="AJ5" s="227">
        <f>O$3-SUM(V$3:V5)</f>
        <v>86700.835943130311</v>
      </c>
      <c r="AK5" s="227">
        <f>P$3-SUM(W$3:W5)</f>
        <v>81324.039915649337</v>
      </c>
      <c r="AL5" s="227">
        <f>Q$3-SUM(X$3:X5)</f>
        <v>29528.871710074622</v>
      </c>
      <c r="AM5" s="227">
        <f>R$3-SUM(Y$3:Y5)</f>
        <v>413326.49855931586</v>
      </c>
      <c r="AN5" s="84">
        <f t="shared" si="3"/>
        <v>19078.38072607118</v>
      </c>
      <c r="AO5" s="84">
        <f t="shared" si="4"/>
        <v>3962.8653796209665</v>
      </c>
      <c r="AP5" s="85">
        <f>(GasEmissions*SUMPRODUCT(GasUEC_NEW,Z5:AB5)+'stock-flow model'!$B4*SUMPRODUCT(ElecUEC_NEW,AC5:AF5)/1000)+(GasEmissions*SUMPRODUCT(GasUECs,AG5:AI5)+'stock-flow model'!$B4*SUMPRODUCT(ElecUECs,AJ5:AM5)/1000)</f>
        <v>1032524.811154837</v>
      </c>
    </row>
    <row r="6" spans="1:43" x14ac:dyDescent="0.3">
      <c r="A6" s="92">
        <v>2023</v>
      </c>
      <c r="B6" s="86">
        <f>'Housing Stock Profile'!$D$18</f>
        <v>1600.8907869099392</v>
      </c>
      <c r="C6" s="86">
        <f t="shared" si="5"/>
        <v>418129.17092004576</v>
      </c>
      <c r="D6" s="84">
        <f t="shared" si="0"/>
        <v>129763.06232086288</v>
      </c>
      <c r="E6" s="227">
        <f>SUM($B$3:B6)*FurnaceSaturation</f>
        <v>3640.4256494332017</v>
      </c>
      <c r="F6" s="227">
        <f>SUM($B$3:B6)*DHWSaturation</f>
        <v>4332.0104693782951</v>
      </c>
      <c r="G6" s="227">
        <f>SUM($B$3:B6)</f>
        <v>4802.6723607298172</v>
      </c>
      <c r="H6" s="227">
        <f>SUM($B$3:B6)</f>
        <v>4802.6723607298172</v>
      </c>
      <c r="I6" s="227">
        <f>SUM($B$3:B6)-E6</f>
        <v>1162.2467112966156</v>
      </c>
      <c r="J6" s="227">
        <f>SUM($B$3:B6)-F6</f>
        <v>470.66189135152217</v>
      </c>
      <c r="K6" s="227">
        <f>SUM($B$3:B6)</f>
        <v>4802.6723607298172</v>
      </c>
      <c r="L6" s="84"/>
      <c r="M6" s="84"/>
      <c r="N6" s="84"/>
      <c r="O6" s="84"/>
      <c r="P6" s="84"/>
      <c r="Q6" s="84"/>
      <c r="R6" s="84"/>
      <c r="S6" s="227">
        <f t="shared" si="6"/>
        <v>13430.843074016922</v>
      </c>
      <c r="T6" s="227">
        <f t="shared" si="7"/>
        <v>25464.14190973997</v>
      </c>
      <c r="U6" s="227">
        <v>0</v>
      </c>
      <c r="V6" s="227">
        <f t="shared" si="8"/>
        <v>5780.0557295420203</v>
      </c>
      <c r="W6" s="227">
        <f t="shared" si="9"/>
        <v>5421.6026610432891</v>
      </c>
      <c r="X6" s="227">
        <f t="shared" si="10"/>
        <v>2952.8871710074623</v>
      </c>
      <c r="Y6" s="227">
        <v>0</v>
      </c>
      <c r="Z6" s="84">
        <f>E6+SUM(S$3:S6)</f>
        <v>61755.89315107312</v>
      </c>
      <c r="AA6" s="84">
        <f>F6+SUM(T$3:T6)</f>
        <v>122511.09307248151</v>
      </c>
      <c r="AB6" s="84">
        <f>G6+SUM(U$3:U6)</f>
        <v>4802.6723607298172</v>
      </c>
      <c r="AC6" s="84">
        <f>H6+SUM(V$3:V6)</f>
        <v>30520.128775445024</v>
      </c>
      <c r="AD6" s="84">
        <f>I6+SUM(W$3:W6)</f>
        <v>25284.822108044984</v>
      </c>
      <c r="AE6" s="84">
        <f>J6+SUM(X$3:X6)</f>
        <v>14400.674211097288</v>
      </c>
      <c r="AF6" s="84">
        <f>K6+SUM(Y$3:Y6)</f>
        <v>4802.6723607298172</v>
      </c>
      <c r="AG6" s="227">
        <f>L$3-SUM(S$3:S6)</f>
        <v>255186.01840632153</v>
      </c>
      <c r="AH6" s="227">
        <f>M$3-SUM(T$3:T6)</f>
        <v>254641.41909739972</v>
      </c>
      <c r="AI6" s="227">
        <f>N$3-SUM(U$3:U6)</f>
        <v>413326.49855931586</v>
      </c>
      <c r="AJ6" s="227">
        <f>O$3-SUM(V$3:V6)</f>
        <v>80920.780213588296</v>
      </c>
      <c r="AK6" s="227">
        <f>P$3-SUM(W$3:W6)</f>
        <v>75902.437254606048</v>
      </c>
      <c r="AL6" s="227">
        <f>Q$3-SUM(X$3:X6)</f>
        <v>26575.984539067162</v>
      </c>
      <c r="AM6" s="227">
        <f>R$3-SUM(Y$3:Y6)</f>
        <v>413326.49855931586</v>
      </c>
      <c r="AN6" s="84">
        <f t="shared" si="3"/>
        <v>19151.706849146824</v>
      </c>
      <c r="AO6" s="84">
        <f t="shared" si="4"/>
        <v>3978.0963134580925</v>
      </c>
      <c r="AP6" s="85">
        <f>(GasEmissions*SUMPRODUCT(GasUEC_NEW,Z6:AB6)+'stock-flow model'!$B5*SUMPRODUCT(ElecUEC_NEW,AC6:AF6)/1000)+(GasEmissions*SUMPRODUCT(GasUECs,AG6:AI6)+'stock-flow model'!$B5*SUMPRODUCT(ElecUECs,AJ6:AM6)/1000)</f>
        <v>1003121.3775279</v>
      </c>
    </row>
    <row r="7" spans="1:43" x14ac:dyDescent="0.3">
      <c r="A7" s="92">
        <v>2024</v>
      </c>
      <c r="B7" s="86">
        <f>'Housing Stock Profile'!$D$18</f>
        <v>1600.8907869099392</v>
      </c>
      <c r="C7" s="86">
        <f t="shared" si="5"/>
        <v>419730.06170695572</v>
      </c>
      <c r="D7" s="84">
        <f t="shared" si="0"/>
        <v>130259.88604280888</v>
      </c>
      <c r="E7" s="227">
        <f>SUM($B$3:B7)*FurnaceSaturation</f>
        <v>4853.9008659109359</v>
      </c>
      <c r="F7" s="227">
        <f>SUM($B$3:B7)*DHWSaturation</f>
        <v>5776.0139591710604</v>
      </c>
      <c r="G7" s="227">
        <f>SUM($B$3:B7)</f>
        <v>6403.5631476397566</v>
      </c>
      <c r="H7" s="227">
        <f>SUM($B$3:B7)</f>
        <v>6403.5631476397566</v>
      </c>
      <c r="I7" s="227">
        <f>SUM($B$3:B7)-E7</f>
        <v>1549.6622817288207</v>
      </c>
      <c r="J7" s="227">
        <f>SUM($B$3:B7)-F7</f>
        <v>627.54918846869623</v>
      </c>
      <c r="K7" s="227">
        <f>SUM($B$3:B7)</f>
        <v>6403.5631476397566</v>
      </c>
      <c r="L7" s="84"/>
      <c r="M7" s="84"/>
      <c r="N7" s="84"/>
      <c r="O7" s="84"/>
      <c r="P7" s="84"/>
      <c r="Q7" s="84"/>
      <c r="R7" s="84"/>
      <c r="S7" s="227">
        <f t="shared" si="6"/>
        <v>12759.300920316076</v>
      </c>
      <c r="T7" s="227">
        <f t="shared" si="7"/>
        <v>23149.219917945429</v>
      </c>
      <c r="U7" s="227">
        <v>0</v>
      </c>
      <c r="V7" s="227">
        <f t="shared" si="8"/>
        <v>5394.7186809058867</v>
      </c>
      <c r="W7" s="227">
        <f t="shared" si="9"/>
        <v>5060.1624836404035</v>
      </c>
      <c r="X7" s="227">
        <f t="shared" si="10"/>
        <v>2657.5984539067163</v>
      </c>
      <c r="Y7" s="227">
        <v>0</v>
      </c>
      <c r="Z7" s="84">
        <f>E7+SUM(S$3:S7)</f>
        <v>75728.669287866927</v>
      </c>
      <c r="AA7" s="84">
        <f>F7+SUM(T$3:T7)</f>
        <v>147104.31648021968</v>
      </c>
      <c r="AB7" s="84">
        <f>G7+SUM(U$3:U7)</f>
        <v>6403.5631476397566</v>
      </c>
      <c r="AC7" s="84">
        <f>H7+SUM(V$3:V7)</f>
        <v>37515.73824326085</v>
      </c>
      <c r="AD7" s="84">
        <f>I7+SUM(W$3:W7)</f>
        <v>30732.400162117592</v>
      </c>
      <c r="AE7" s="84">
        <f>J7+SUM(X$3:X7)</f>
        <v>17215.159962121179</v>
      </c>
      <c r="AF7" s="84">
        <f>K7+SUM(Y$3:Y7)</f>
        <v>6403.5631476397566</v>
      </c>
      <c r="AG7" s="227">
        <f>L$3-SUM(S$3:S7)</f>
        <v>242426.71748600545</v>
      </c>
      <c r="AH7" s="227">
        <f>M$3-SUM(T$3:T7)</f>
        <v>231492.1991794543</v>
      </c>
      <c r="AI7" s="227">
        <f>N$3-SUM(U$3:U7)</f>
        <v>413326.49855931586</v>
      </c>
      <c r="AJ7" s="227">
        <f>O$3-SUM(V$3:V7)</f>
        <v>75526.061532682405</v>
      </c>
      <c r="AK7" s="227">
        <f>P$3-SUM(W$3:W7)</f>
        <v>70842.274770965654</v>
      </c>
      <c r="AL7" s="227">
        <f>Q$3-SUM(X$3:X7)</f>
        <v>23918.386085160444</v>
      </c>
      <c r="AM7" s="227">
        <f>R$3-SUM(Y$3:Y7)</f>
        <v>413326.49855931586</v>
      </c>
      <c r="AN7" s="84">
        <f t="shared" si="3"/>
        <v>19225.032972222467</v>
      </c>
      <c r="AO7" s="84">
        <f t="shared" si="4"/>
        <v>3993.3272472952185</v>
      </c>
      <c r="AP7" s="85">
        <f>(GasEmissions*SUMPRODUCT(GasUEC_NEW,Z7:AB7)+'stock-flow model'!$B6*SUMPRODUCT(ElecUEC_NEW,AC7:AF7)/1000)+(GasEmissions*SUMPRODUCT(GasUECs,AG7:AI7)+'stock-flow model'!$B6*SUMPRODUCT(ElecUECs,AJ7:AM7)/1000)</f>
        <v>975116.54137152457</v>
      </c>
    </row>
    <row r="8" spans="1:43" x14ac:dyDescent="0.3">
      <c r="A8" s="92">
        <v>2025</v>
      </c>
      <c r="B8" s="86">
        <f>'Housing Stock Profile'!$D$18</f>
        <v>1600.8907869099392</v>
      </c>
      <c r="C8" s="86">
        <f t="shared" si="5"/>
        <v>421330.95249386568</v>
      </c>
      <c r="D8" s="84">
        <f t="shared" si="0"/>
        <v>130756.70976475488</v>
      </c>
      <c r="E8" s="227">
        <f>SUM($B$3:B8)*FurnaceSaturation</f>
        <v>6067.3760823886696</v>
      </c>
      <c r="F8" s="227">
        <f>SUM($B$3:B8)*DHWSaturation</f>
        <v>7220.0174489638257</v>
      </c>
      <c r="G8" s="227">
        <f>SUM($B$3:B8)</f>
        <v>8004.453934549696</v>
      </c>
      <c r="H8" s="227">
        <f>SUM($B$3:B8)</f>
        <v>8004.453934549696</v>
      </c>
      <c r="I8" s="227">
        <f>SUM($B$3:B8)-E8</f>
        <v>1937.0778521610264</v>
      </c>
      <c r="J8" s="227">
        <f>SUM($B$3:B8)-F8</f>
        <v>784.43648558587029</v>
      </c>
      <c r="K8" s="227">
        <f>SUM($B$3:B8)</f>
        <v>8004.453934549696</v>
      </c>
      <c r="L8" s="84"/>
      <c r="M8" s="84"/>
      <c r="N8" s="84"/>
      <c r="O8" s="84"/>
      <c r="P8" s="84"/>
      <c r="Q8" s="84"/>
      <c r="R8" s="84"/>
      <c r="S8" s="227">
        <f t="shared" si="6"/>
        <v>12121.335874300274</v>
      </c>
      <c r="T8" s="227">
        <f t="shared" si="7"/>
        <v>21044.745379950393</v>
      </c>
      <c r="U8" s="227">
        <v>0</v>
      </c>
      <c r="V8" s="227">
        <f t="shared" si="8"/>
        <v>5035.0707688454931</v>
      </c>
      <c r="W8" s="227">
        <f t="shared" si="9"/>
        <v>4722.8183180643773</v>
      </c>
      <c r="X8" s="227">
        <f t="shared" si="10"/>
        <v>2391.8386085160446</v>
      </c>
      <c r="Y8" s="227">
        <v>0</v>
      </c>
      <c r="Z8" s="84">
        <f>E8+SUM(S$3:S8)</f>
        <v>89063.480378644934</v>
      </c>
      <c r="AA8" s="84">
        <f>F8+SUM(T$3:T8)</f>
        <v>169593.06534996285</v>
      </c>
      <c r="AB8" s="84">
        <f>G8+SUM(U$3:U8)</f>
        <v>8004.453934549696</v>
      </c>
      <c r="AC8" s="84">
        <f>H8+SUM(V$3:V8)</f>
        <v>44151.699799016285</v>
      </c>
      <c r="AD8" s="84">
        <f>I8+SUM(W$3:W8)</f>
        <v>35842.634050614179</v>
      </c>
      <c r="AE8" s="84">
        <f>J8+SUM(X$3:X8)</f>
        <v>19763.885867754398</v>
      </c>
      <c r="AF8" s="84">
        <f>K8+SUM(Y$3:Y8)</f>
        <v>8004.453934549696</v>
      </c>
      <c r="AG8" s="227">
        <f>L$3-SUM(S$3:S8)</f>
        <v>230305.38161170518</v>
      </c>
      <c r="AH8" s="227">
        <f>M$3-SUM(T$3:T8)</f>
        <v>210447.45379950391</v>
      </c>
      <c r="AI8" s="227">
        <f>N$3-SUM(U$3:U8)</f>
        <v>413326.49855931586</v>
      </c>
      <c r="AJ8" s="227">
        <f>O$3-SUM(V$3:V8)</f>
        <v>70490.990763836904</v>
      </c>
      <c r="AK8" s="227">
        <f>P$3-SUM(W$3:W8)</f>
        <v>66119.456452901271</v>
      </c>
      <c r="AL8" s="227">
        <f>Q$3-SUM(X$3:X8)</f>
        <v>21526.547476644399</v>
      </c>
      <c r="AM8" s="227">
        <f>R$3-SUM(Y$3:Y8)</f>
        <v>413326.49855931586</v>
      </c>
      <c r="AN8" s="84">
        <f t="shared" si="3"/>
        <v>19298.359095298107</v>
      </c>
      <c r="AO8" s="84">
        <f t="shared" si="4"/>
        <v>4008.5581811323445</v>
      </c>
      <c r="AP8" s="85">
        <f>(GasEmissions*SUMPRODUCT(GasUEC_NEW,Z8:AB8)+'stock-flow model'!$B7*SUMPRODUCT(ElecUEC_NEW,AC8:AF8)/1000)+(GasEmissions*SUMPRODUCT(GasUECs,AG8:AI8)+'stock-flow model'!$B7*SUMPRODUCT(ElecUECs,AJ8:AM8)/1000)</f>
        <v>948377.98134118062</v>
      </c>
    </row>
    <row r="9" spans="1:43" x14ac:dyDescent="0.3">
      <c r="A9" s="92">
        <v>2026</v>
      </c>
      <c r="B9" s="86">
        <f>'Housing Stock Profile'!$D$18</f>
        <v>1600.8907869099392</v>
      </c>
      <c r="C9" s="86">
        <f t="shared" si="5"/>
        <v>422931.84328077565</v>
      </c>
      <c r="D9" s="84">
        <f t="shared" si="0"/>
        <v>131253.53348670088</v>
      </c>
      <c r="E9" s="227">
        <f>SUM($B$3:B9)*FurnaceSaturation</f>
        <v>7280.8512988664033</v>
      </c>
      <c r="F9" s="227">
        <f>SUM($B$3:B9)*DHWSaturation</f>
        <v>8664.0209387565901</v>
      </c>
      <c r="G9" s="227">
        <f>SUM($B$3:B9)</f>
        <v>9605.3447214596345</v>
      </c>
      <c r="H9" s="227">
        <f>SUM($B$3:B9)</f>
        <v>9605.3447214596345</v>
      </c>
      <c r="I9" s="227">
        <f>SUM($B$3:B9)-E9</f>
        <v>2324.4934225932311</v>
      </c>
      <c r="J9" s="227">
        <f>SUM($B$3:B9)-F9</f>
        <v>941.32378270304434</v>
      </c>
      <c r="K9" s="227">
        <f>SUM($B$3:B9)</f>
        <v>9605.3447214596345</v>
      </c>
      <c r="L9" s="84"/>
      <c r="M9" s="84"/>
      <c r="N9" s="84"/>
      <c r="O9" s="84"/>
      <c r="P9" s="84"/>
      <c r="Q9" s="84"/>
      <c r="R9" s="84"/>
      <c r="S9" s="227">
        <f t="shared" si="6"/>
        <v>11515.26908058526</v>
      </c>
      <c r="T9" s="227">
        <f t="shared" si="7"/>
        <v>19131.586709045812</v>
      </c>
      <c r="U9" s="227">
        <v>0</v>
      </c>
      <c r="V9" s="227">
        <f t="shared" si="8"/>
        <v>4699.3993842557938</v>
      </c>
      <c r="W9" s="227">
        <f t="shared" si="9"/>
        <v>4407.9637635267518</v>
      </c>
      <c r="X9" s="227">
        <f t="shared" si="10"/>
        <v>2152.65474766444</v>
      </c>
      <c r="Y9" s="227">
        <v>0</v>
      </c>
      <c r="Z9" s="84">
        <f>E9+SUM(S$3:S9)</f>
        <v>101792.22467570793</v>
      </c>
      <c r="AA9" s="84">
        <f>F9+SUM(T$3:T9)</f>
        <v>190168.65554880141</v>
      </c>
      <c r="AB9" s="84">
        <f>G9+SUM(U$3:U9)</f>
        <v>9605.3447214596345</v>
      </c>
      <c r="AC9" s="84">
        <f>H9+SUM(V$3:V9)</f>
        <v>50451.989970182025</v>
      </c>
      <c r="AD9" s="84">
        <f>I9+SUM(W$3:W9)</f>
        <v>40638.013384573132</v>
      </c>
      <c r="AE9" s="84">
        <f>J9+SUM(X$3:X9)</f>
        <v>22073.427912536012</v>
      </c>
      <c r="AF9" s="84">
        <f>K9+SUM(Y$3:Y9)</f>
        <v>9605.3447214596345</v>
      </c>
      <c r="AG9" s="227">
        <f>L$3-SUM(S$3:S9)</f>
        <v>218790.1125311199</v>
      </c>
      <c r="AH9" s="227">
        <f>M$3-SUM(T$3:T9)</f>
        <v>191315.86709045811</v>
      </c>
      <c r="AI9" s="227">
        <f>N$3-SUM(U$3:U9)</f>
        <v>413326.49855931586</v>
      </c>
      <c r="AJ9" s="227">
        <f>O$3-SUM(V$3:V9)</f>
        <v>65791.591379581107</v>
      </c>
      <c r="AK9" s="227">
        <f>P$3-SUM(W$3:W9)</f>
        <v>61711.492689374521</v>
      </c>
      <c r="AL9" s="227">
        <f>Q$3-SUM(X$3:X9)</f>
        <v>19373.892728979958</v>
      </c>
      <c r="AM9" s="227">
        <f>R$3-SUM(Y$3:Y9)</f>
        <v>413326.49855931586</v>
      </c>
      <c r="AN9" s="84">
        <f t="shared" si="3"/>
        <v>19371.68521837375</v>
      </c>
      <c r="AO9" s="84">
        <f t="shared" si="4"/>
        <v>4023.7891149694706</v>
      </c>
      <c r="AP9" s="85">
        <f>(GasEmissions*SUMPRODUCT(GasUEC_NEW,Z9:AB9)+'stock-flow model'!$B8*SUMPRODUCT(ElecUEC_NEW,AC9:AF9)/1000)+(GasEmissions*SUMPRODUCT(GasUECs,AG9:AI9)+'stock-flow model'!$B8*SUMPRODUCT(ElecUECs,AJ9:AM9)/1000)</f>
        <v>922785.15540360007</v>
      </c>
    </row>
    <row r="10" spans="1:43" x14ac:dyDescent="0.3">
      <c r="A10" s="92">
        <v>2027</v>
      </c>
      <c r="B10" s="86">
        <f>'Housing Stock Profile'!$D$18</f>
        <v>1600.8907869099392</v>
      </c>
      <c r="C10" s="86">
        <f t="shared" si="5"/>
        <v>424532.73406768561</v>
      </c>
      <c r="D10" s="84">
        <f t="shared" si="0"/>
        <v>131750.35720864689</v>
      </c>
      <c r="E10" s="227">
        <f>SUM($B$3:B10)*FurnaceSaturation</f>
        <v>8494.3265153441371</v>
      </c>
      <c r="F10" s="227">
        <f>SUM($B$3:B10)*DHWSaturation</f>
        <v>10108.024428549355</v>
      </c>
      <c r="G10" s="227">
        <f>SUM($B$3:B10)</f>
        <v>11206.235508369573</v>
      </c>
      <c r="H10" s="227">
        <f>SUM($B$3:B10)</f>
        <v>11206.235508369573</v>
      </c>
      <c r="I10" s="227">
        <f>SUM($B$3:B10)-E10</f>
        <v>2711.9089930254358</v>
      </c>
      <c r="J10" s="227">
        <f>SUM($B$3:B10)-F10</f>
        <v>1098.2110798202175</v>
      </c>
      <c r="K10" s="227">
        <f>SUM($B$3:B10)</f>
        <v>11206.235508369573</v>
      </c>
      <c r="L10" s="84"/>
      <c r="M10" s="84"/>
      <c r="N10" s="84"/>
      <c r="O10" s="84"/>
      <c r="P10" s="84"/>
      <c r="Q10" s="84"/>
      <c r="R10" s="84"/>
      <c r="S10" s="227">
        <f t="shared" si="6"/>
        <v>10939.505626555996</v>
      </c>
      <c r="T10" s="227">
        <f t="shared" si="7"/>
        <v>17392.351553678011</v>
      </c>
      <c r="U10" s="227">
        <v>0</v>
      </c>
      <c r="V10" s="227">
        <f t="shared" si="8"/>
        <v>4386.106091972074</v>
      </c>
      <c r="W10" s="227">
        <f t="shared" si="9"/>
        <v>4114.0995126249682</v>
      </c>
      <c r="X10" s="227">
        <f t="shared" si="10"/>
        <v>1937.3892728979959</v>
      </c>
      <c r="Y10" s="227">
        <v>0</v>
      </c>
      <c r="Z10" s="84">
        <f>E10+SUM(S$3:S10)</f>
        <v>113945.20551874166</v>
      </c>
      <c r="AA10" s="84">
        <f>F10+SUM(T$3:T10)</f>
        <v>209005.01059227221</v>
      </c>
      <c r="AB10" s="84">
        <f>G10+SUM(U$3:U10)</f>
        <v>11206.235508369573</v>
      </c>
      <c r="AC10" s="84">
        <f>H10+SUM(V$3:V10)</f>
        <v>56438.986849064037</v>
      </c>
      <c r="AD10" s="84">
        <f>I10+SUM(W$3:W10)</f>
        <v>45139.528467630305</v>
      </c>
      <c r="AE10" s="84">
        <f>J10+SUM(X$3:X10)</f>
        <v>24167.704482551184</v>
      </c>
      <c r="AF10" s="84">
        <f>K10+SUM(Y$3:Y10)</f>
        <v>11206.235508369573</v>
      </c>
      <c r="AG10" s="227">
        <f>L$3-SUM(S$3:S10)</f>
        <v>207850.6069045639</v>
      </c>
      <c r="AH10" s="227">
        <f>M$3-SUM(T$3:T10)</f>
        <v>173923.51553678009</v>
      </c>
      <c r="AI10" s="227">
        <f>N$3-SUM(U$3:U10)</f>
        <v>413326.49855931586</v>
      </c>
      <c r="AJ10" s="227">
        <f>O$3-SUM(V$3:V10)</f>
        <v>61405.48528760903</v>
      </c>
      <c r="AK10" s="227">
        <f>P$3-SUM(W$3:W10)</f>
        <v>57597.393176749552</v>
      </c>
      <c r="AL10" s="227">
        <f>Q$3-SUM(X$3:X10)</f>
        <v>17436.503456081962</v>
      </c>
      <c r="AM10" s="227">
        <f>R$3-SUM(Y$3:Y10)</f>
        <v>413326.49855931586</v>
      </c>
      <c r="AN10" s="84">
        <f t="shared" si="3"/>
        <v>19445.011341449394</v>
      </c>
      <c r="AO10" s="84">
        <f t="shared" si="4"/>
        <v>4039.0200488065966</v>
      </c>
      <c r="AP10" s="85">
        <f>(GasEmissions*SUMPRODUCT(GasUEC_NEW,Z10:AB10)+'stock-flow model'!$B9*SUMPRODUCT(ElecUEC_NEW,AC10:AF10)/1000)+(GasEmissions*SUMPRODUCT(GasUECs,AG10:AI10)+'stock-flow model'!$B9*SUMPRODUCT(ElecUECs,AJ10:AM10)/1000)</f>
        <v>898228.23922858015</v>
      </c>
    </row>
    <row r="11" spans="1:43" x14ac:dyDescent="0.3">
      <c r="A11" s="92">
        <v>2028</v>
      </c>
      <c r="B11" s="86">
        <f>'Housing Stock Profile'!$D$18</f>
        <v>1600.8907869099392</v>
      </c>
      <c r="C11" s="86">
        <f t="shared" si="5"/>
        <v>426133.62485459558</v>
      </c>
      <c r="D11" s="84">
        <f t="shared" si="0"/>
        <v>132247.18093059288</v>
      </c>
      <c r="E11" s="227">
        <f>SUM($B$3:B11)*FurnaceSaturation</f>
        <v>9707.8017318218699</v>
      </c>
      <c r="F11" s="227">
        <f>SUM($B$3:B11)*DHWSaturation</f>
        <v>11552.027918342119</v>
      </c>
      <c r="G11" s="227">
        <f>SUM($B$3:B11)</f>
        <v>12807.126295279511</v>
      </c>
      <c r="H11" s="227">
        <f>SUM($B$3:B11)</f>
        <v>12807.126295279511</v>
      </c>
      <c r="I11" s="227">
        <f>SUM($B$3:B11)-E11</f>
        <v>3099.3245634576415</v>
      </c>
      <c r="J11" s="227">
        <f>SUM($B$3:B11)-F11</f>
        <v>1255.0983769373925</v>
      </c>
      <c r="K11" s="227">
        <f>SUM($B$3:B11)</f>
        <v>12807.126295279511</v>
      </c>
      <c r="L11" s="84"/>
      <c r="M11" s="84"/>
      <c r="N11" s="84"/>
      <c r="O11" s="84"/>
      <c r="P11" s="84"/>
      <c r="Q11" s="84"/>
      <c r="R11" s="84"/>
      <c r="S11" s="227">
        <f t="shared" si="6"/>
        <v>10392.530345228195</v>
      </c>
      <c r="T11" s="227">
        <f t="shared" si="7"/>
        <v>15811.228685161826</v>
      </c>
      <c r="U11" s="227">
        <v>0</v>
      </c>
      <c r="V11" s="227">
        <f t="shared" si="8"/>
        <v>4093.6990191739351</v>
      </c>
      <c r="W11" s="227">
        <f t="shared" si="9"/>
        <v>3839.8262117833033</v>
      </c>
      <c r="X11" s="227">
        <f t="shared" si="10"/>
        <v>1743.6503456081964</v>
      </c>
      <c r="Y11" s="227">
        <v>0</v>
      </c>
      <c r="Z11" s="84">
        <f>E11+SUM(S$3:S11)</f>
        <v>125551.2110804476</v>
      </c>
      <c r="AA11" s="84">
        <f>F11+SUM(T$3:T11)</f>
        <v>226260.24276722679</v>
      </c>
      <c r="AB11" s="84">
        <f>G11+SUM(U$3:U11)</f>
        <v>12807.126295279511</v>
      </c>
      <c r="AC11" s="84">
        <f>H11+SUM(V$3:V11)</f>
        <v>62133.576655147903</v>
      </c>
      <c r="AD11" s="84">
        <f>I11+SUM(W$3:W11)</f>
        <v>49366.770249845809</v>
      </c>
      <c r="AE11" s="84">
        <f>J11+SUM(X$3:X11)</f>
        <v>26068.242125276553</v>
      </c>
      <c r="AF11" s="84">
        <f>K11+SUM(Y$3:Y11)</f>
        <v>12807.126295279511</v>
      </c>
      <c r="AG11" s="227">
        <f>L$3-SUM(S$3:S11)</f>
        <v>197458.07655933572</v>
      </c>
      <c r="AH11" s="227">
        <f>M$3-SUM(T$3:T11)</f>
        <v>158112.28685161826</v>
      </c>
      <c r="AI11" s="227">
        <f>N$3-SUM(U$3:U11)</f>
        <v>413326.49855931586</v>
      </c>
      <c r="AJ11" s="227">
        <f>O$3-SUM(V$3:V11)</f>
        <v>57311.786268435098</v>
      </c>
      <c r="AK11" s="227">
        <f>P$3-SUM(W$3:W11)</f>
        <v>53757.566964966252</v>
      </c>
      <c r="AL11" s="227">
        <f>Q$3-SUM(X$3:X11)</f>
        <v>15692.853110473767</v>
      </c>
      <c r="AM11" s="227">
        <f>R$3-SUM(Y$3:Y11)</f>
        <v>413326.49855931586</v>
      </c>
      <c r="AN11" s="84">
        <f t="shared" si="3"/>
        <v>19518.337464525037</v>
      </c>
      <c r="AO11" s="84">
        <f t="shared" si="4"/>
        <v>4054.2509826437222</v>
      </c>
      <c r="AP11" s="85">
        <f>(GasEmissions*SUMPRODUCT(GasUEC_NEW,Z11:AB11)+'stock-flow model'!$B10*SUMPRODUCT(ElecUEC_NEW,AC11:AF11)/1000)+(GasEmissions*SUMPRODUCT(GasUECs,AG11:AI11)+'stock-flow model'!$B10*SUMPRODUCT(ElecUECs,AJ11:AM11)/1000)</f>
        <v>874607.16104454594</v>
      </c>
    </row>
    <row r="12" spans="1:43" x14ac:dyDescent="0.3">
      <c r="A12" s="92">
        <v>2029</v>
      </c>
      <c r="B12" s="86">
        <f>'Housing Stock Profile'!$D$18</f>
        <v>1600.8907869099392</v>
      </c>
      <c r="C12" s="86">
        <f t="shared" si="5"/>
        <v>427734.51564150554</v>
      </c>
      <c r="D12" s="84">
        <f t="shared" si="0"/>
        <v>132744.00465253889</v>
      </c>
      <c r="E12" s="227">
        <f>SUM($B$3:B12)*FurnaceSaturation</f>
        <v>10921.276948299603</v>
      </c>
      <c r="F12" s="227">
        <f>SUM($B$3:B12)*DHWSaturation</f>
        <v>12996.031408134884</v>
      </c>
      <c r="G12" s="227">
        <f>SUM($B$3:B12)</f>
        <v>14408.01708218945</v>
      </c>
      <c r="H12" s="227">
        <f>SUM($B$3:B12)</f>
        <v>14408.01708218945</v>
      </c>
      <c r="I12" s="227">
        <f>SUM($B$3:B12)-E12</f>
        <v>3486.7401338898471</v>
      </c>
      <c r="J12" s="227">
        <f>SUM($B$3:B12)-F12</f>
        <v>1411.9856740545656</v>
      </c>
      <c r="K12" s="227">
        <f>SUM($B$3:B12)</f>
        <v>14408.01708218945</v>
      </c>
      <c r="L12" s="84"/>
      <c r="M12" s="84"/>
      <c r="N12" s="84"/>
      <c r="O12" s="84"/>
      <c r="P12" s="84"/>
      <c r="Q12" s="84"/>
      <c r="R12" s="84"/>
      <c r="S12" s="227">
        <f t="shared" si="6"/>
        <v>9872.9038279667875</v>
      </c>
      <c r="T12" s="227">
        <f t="shared" si="7"/>
        <v>14373.844259238025</v>
      </c>
      <c r="U12" s="227">
        <v>0</v>
      </c>
      <c r="V12" s="227">
        <f t="shared" si="8"/>
        <v>3820.7857512290066</v>
      </c>
      <c r="W12" s="227">
        <f t="shared" si="9"/>
        <v>3583.8377976644169</v>
      </c>
      <c r="X12" s="227">
        <f t="shared" si="10"/>
        <v>1569.2853110473768</v>
      </c>
      <c r="Y12" s="227">
        <v>0</v>
      </c>
      <c r="Z12" s="84">
        <f>E12+SUM(S$3:S12)</f>
        <v>136637.5901248921</v>
      </c>
      <c r="AA12" s="84">
        <f>F12+SUM(T$3:T12)</f>
        <v>242078.09051625757</v>
      </c>
      <c r="AB12" s="84">
        <f>G12+SUM(U$3:U12)</f>
        <v>14408.01708218945</v>
      </c>
      <c r="AC12" s="84">
        <f>H12+SUM(V$3:V12)</f>
        <v>67555.253193286859</v>
      </c>
      <c r="AD12" s="84">
        <f>I12+SUM(W$3:W12)</f>
        <v>53338.023617942439</v>
      </c>
      <c r="AE12" s="84">
        <f>J12+SUM(X$3:X12)</f>
        <v>27794.414733441103</v>
      </c>
      <c r="AF12" s="84">
        <f>K12+SUM(Y$3:Y12)</f>
        <v>14408.01708218945</v>
      </c>
      <c r="AG12" s="227">
        <f>L$3-SUM(S$3:S12)</f>
        <v>187585.17273136892</v>
      </c>
      <c r="AH12" s="227">
        <f>M$3-SUM(T$3:T12)</f>
        <v>143738.44259238025</v>
      </c>
      <c r="AI12" s="227">
        <f>N$3-SUM(U$3:U12)</f>
        <v>413326.49855931586</v>
      </c>
      <c r="AJ12" s="227">
        <f>O$3-SUM(V$3:V12)</f>
        <v>53491.000517206092</v>
      </c>
      <c r="AK12" s="227">
        <f>P$3-SUM(W$3:W12)</f>
        <v>50173.729167301834</v>
      </c>
      <c r="AL12" s="227">
        <f>Q$3-SUM(X$3:X12)</f>
        <v>14123.56779942639</v>
      </c>
      <c r="AM12" s="227">
        <f>R$3-SUM(Y$3:Y12)</f>
        <v>413326.49855931586</v>
      </c>
      <c r="AN12" s="84">
        <f t="shared" si="3"/>
        <v>19591.663587600677</v>
      </c>
      <c r="AO12" s="84">
        <f t="shared" si="4"/>
        <v>4069.4819164808482</v>
      </c>
      <c r="AP12" s="85">
        <f>(GasEmissions*SUMPRODUCT(GasUEC_NEW,Z12:AB12)+'stock-flow model'!$B11*SUMPRODUCT(ElecUEC_NEW,AC12:AF12)/1000)+(GasEmissions*SUMPRODUCT(GasUECs,AG12:AI12)+'stock-flow model'!$B11*SUMPRODUCT(ElecUECs,AJ12:AM12)/1000)</f>
        <v>851830.72414067341</v>
      </c>
    </row>
    <row r="13" spans="1:43" x14ac:dyDescent="0.3">
      <c r="A13" s="92">
        <v>2030</v>
      </c>
      <c r="B13" s="86">
        <f>'Housing Stock Profile'!$D$18</f>
        <v>1600.8907869099392</v>
      </c>
      <c r="C13" s="86">
        <f t="shared" si="5"/>
        <v>429335.4064284155</v>
      </c>
      <c r="D13" s="84">
        <f t="shared" si="0"/>
        <v>133240.8283744849</v>
      </c>
      <c r="E13" s="227">
        <f>SUM($B$3:B13)*FurnaceSaturation</f>
        <v>12134.752164777336</v>
      </c>
      <c r="F13" s="227">
        <f>SUM($B$3:B13)*DHWSaturation</f>
        <v>14440.034897927648</v>
      </c>
      <c r="G13" s="227">
        <f>SUM($B$3:B13)</f>
        <v>16008.907869099388</v>
      </c>
      <c r="H13" s="227">
        <f>SUM($B$3:B13)</f>
        <v>16008.907869099388</v>
      </c>
      <c r="I13" s="227">
        <f>SUM($B$3:B13)-E13</f>
        <v>3874.1557043220528</v>
      </c>
      <c r="J13" s="227">
        <f>SUM($B$3:B13)-F13</f>
        <v>1568.8729711717406</v>
      </c>
      <c r="K13" s="227">
        <f>SUM($B$3:B13)</f>
        <v>16008.907869099388</v>
      </c>
      <c r="L13" s="84"/>
      <c r="M13" s="84"/>
      <c r="N13" s="84"/>
      <c r="O13" s="84"/>
      <c r="P13" s="84"/>
      <c r="Q13" s="84"/>
      <c r="R13" s="84"/>
      <c r="S13" s="227">
        <f t="shared" si="6"/>
        <v>9379.2586365684456</v>
      </c>
      <c r="T13" s="227">
        <f t="shared" si="7"/>
        <v>13067.131144761841</v>
      </c>
      <c r="U13" s="227">
        <v>0</v>
      </c>
      <c r="V13" s="227">
        <f t="shared" si="8"/>
        <v>3566.0667011470728</v>
      </c>
      <c r="W13" s="227">
        <f t="shared" si="9"/>
        <v>3344.9152778201224</v>
      </c>
      <c r="X13" s="227">
        <f t="shared" si="10"/>
        <v>1412.3567799426392</v>
      </c>
      <c r="Y13" s="227">
        <v>0</v>
      </c>
      <c r="Z13" s="84">
        <f>E13+SUM(S$3:S13)</f>
        <v>147230.3239779383</v>
      </c>
      <c r="AA13" s="84">
        <f>F13+SUM(T$3:T13)</f>
        <v>256589.22515081218</v>
      </c>
      <c r="AB13" s="84">
        <f>G13+SUM(U$3:U13)</f>
        <v>16008.907869099388</v>
      </c>
      <c r="AC13" s="84">
        <f>H13+SUM(V$3:V13)</f>
        <v>72722.210681343859</v>
      </c>
      <c r="AD13" s="84">
        <f>I13+SUM(W$3:W13)</f>
        <v>57070.354466194767</v>
      </c>
      <c r="AE13" s="84">
        <f>J13+SUM(X$3:X13)</f>
        <v>29363.658810500914</v>
      </c>
      <c r="AF13" s="84">
        <f>K13+SUM(Y$3:Y13)</f>
        <v>16008.907869099388</v>
      </c>
      <c r="AG13" s="227">
        <f>L$3-SUM(S$3:S13)</f>
        <v>178205.91409480048</v>
      </c>
      <c r="AH13" s="227">
        <f>M$3-SUM(T$3:T13)</f>
        <v>130671.31144761841</v>
      </c>
      <c r="AI13" s="227">
        <f>N$3-SUM(U$3:U13)</f>
        <v>413326.49855931586</v>
      </c>
      <c r="AJ13" s="227">
        <f>O$3-SUM(V$3:V13)</f>
        <v>49924.93381605902</v>
      </c>
      <c r="AK13" s="227">
        <f>P$3-SUM(W$3:W13)</f>
        <v>46828.813889481709</v>
      </c>
      <c r="AL13" s="227">
        <f>Q$3-SUM(X$3:X13)</f>
        <v>12711.211019483751</v>
      </c>
      <c r="AM13" s="227">
        <f>R$3-SUM(Y$3:Y13)</f>
        <v>413326.49855931586</v>
      </c>
      <c r="AN13" s="84">
        <f t="shared" si="3"/>
        <v>19664.98971067632</v>
      </c>
      <c r="AO13" s="84">
        <f t="shared" si="4"/>
        <v>4084.7128503179742</v>
      </c>
      <c r="AP13" s="85">
        <f>(GasEmissions*SUMPRODUCT(GasUEC_NEW,Z13:AB13)+'stock-flow model'!$B12*SUMPRODUCT(ElecUEC_NEW,AC13:AF13)/1000)+(GasEmissions*SUMPRODUCT(GasUECs,AG13:AI13)+'stock-flow model'!$B12*SUMPRODUCT(ElecUECs,AJ13:AM13)/1000)</f>
        <v>829815.80900809867</v>
      </c>
    </row>
    <row r="14" spans="1:43" x14ac:dyDescent="0.3">
      <c r="A14" s="92">
        <v>2031</v>
      </c>
      <c r="B14" s="86">
        <f>'Housing Stock Profile'!$D$18</f>
        <v>1600.8907869099392</v>
      </c>
      <c r="C14" s="86">
        <f t="shared" si="5"/>
        <v>430936.29721532547</v>
      </c>
      <c r="D14" s="84">
        <f t="shared" si="0"/>
        <v>133737.65209643089</v>
      </c>
      <c r="E14" s="227">
        <f>SUM($B$3:B14)*FurnaceSaturation</f>
        <v>13348.22738125507</v>
      </c>
      <c r="F14" s="227">
        <f>SUM($B$3:B14)*DHWSaturation</f>
        <v>15884.038387720413</v>
      </c>
      <c r="G14" s="227">
        <f>SUM($B$3:B14)</f>
        <v>17609.798656009327</v>
      </c>
      <c r="H14" s="227">
        <f>SUM($B$3:B14)</f>
        <v>17609.798656009327</v>
      </c>
      <c r="I14" s="227">
        <f>SUM($B$3:B14)-E14</f>
        <v>4261.5712747542566</v>
      </c>
      <c r="J14" s="227">
        <f>SUM($B$3:B14)-F14</f>
        <v>1725.7602682889137</v>
      </c>
      <c r="K14" s="227">
        <f>SUM($B$3:B14)</f>
        <v>17609.798656009327</v>
      </c>
      <c r="L14" s="84"/>
      <c r="M14" s="84"/>
      <c r="N14" s="84"/>
      <c r="O14" s="84"/>
      <c r="P14" s="84"/>
      <c r="Q14" s="84"/>
      <c r="R14" s="84"/>
      <c r="S14" s="227">
        <f t="shared" si="6"/>
        <v>8910.295704740025</v>
      </c>
      <c r="T14" s="227">
        <f t="shared" si="7"/>
        <v>11879.210131601674</v>
      </c>
      <c r="U14" s="227">
        <v>0</v>
      </c>
      <c r="V14" s="227">
        <f t="shared" si="8"/>
        <v>3328.3289210706012</v>
      </c>
      <c r="W14" s="227">
        <f t="shared" si="9"/>
        <v>3121.9209259654472</v>
      </c>
      <c r="X14" s="227">
        <f t="shared" si="10"/>
        <v>1271.1211019483753</v>
      </c>
      <c r="Y14" s="227">
        <v>0</v>
      </c>
      <c r="Z14" s="84">
        <f>E14+SUM(S$3:S14)</f>
        <v>157354.09489915604</v>
      </c>
      <c r="AA14" s="84">
        <f>F14+SUM(T$3:T14)</f>
        <v>269912.4387722066</v>
      </c>
      <c r="AB14" s="84">
        <f>G14+SUM(U$3:U14)</f>
        <v>17609.798656009327</v>
      </c>
      <c r="AC14" s="84">
        <f>H14+SUM(V$3:V14)</f>
        <v>77651.430389324407</v>
      </c>
      <c r="AD14" s="84">
        <f>I14+SUM(W$3:W14)</f>
        <v>60579.690962592416</v>
      </c>
      <c r="AE14" s="84">
        <f>J14+SUM(X$3:X14)</f>
        <v>30791.667209566462</v>
      </c>
      <c r="AF14" s="84">
        <f>K14+SUM(Y$3:Y14)</f>
        <v>17609.798656009327</v>
      </c>
      <c r="AG14" s="227">
        <f>L$3-SUM(S$3:S14)</f>
        <v>169295.61839006047</v>
      </c>
      <c r="AH14" s="227">
        <f>M$3-SUM(T$3:T14)</f>
        <v>118792.10131601675</v>
      </c>
      <c r="AI14" s="227">
        <f>N$3-SUM(U$3:U14)</f>
        <v>413326.49855931586</v>
      </c>
      <c r="AJ14" s="227">
        <f>O$3-SUM(V$3:V14)</f>
        <v>46596.604894988421</v>
      </c>
      <c r="AK14" s="227">
        <f>P$3-SUM(W$3:W14)</f>
        <v>43706.892963516264</v>
      </c>
      <c r="AL14" s="227">
        <f>Q$3-SUM(X$3:X14)</f>
        <v>11440.089917535377</v>
      </c>
      <c r="AM14" s="227">
        <f>R$3-SUM(Y$3:Y14)</f>
        <v>413326.49855931586</v>
      </c>
      <c r="AN14" s="84">
        <f t="shared" si="3"/>
        <v>19738.315833751964</v>
      </c>
      <c r="AO14" s="84">
        <f t="shared" si="4"/>
        <v>4099.9437841551007</v>
      </c>
      <c r="AP14" s="85">
        <f>(GasEmissions*SUMPRODUCT(GasUEC_NEW,Z14:AB14)+'stock-flow model'!$B13*SUMPRODUCT(ElecUEC_NEW,AC14:AF14)/1000)+(GasEmissions*SUMPRODUCT(GasUECs,AG14:AI14)+'stock-flow model'!$B13*SUMPRODUCT(ElecUECs,AJ14:AM14)/1000)</f>
        <v>823799.58058179996</v>
      </c>
    </row>
    <row r="15" spans="1:43" x14ac:dyDescent="0.3">
      <c r="A15" s="92">
        <v>2032</v>
      </c>
      <c r="B15" s="86">
        <f>'Housing Stock Profile'!$D$18</f>
        <v>1600.8907869099392</v>
      </c>
      <c r="C15" s="86">
        <f t="shared" si="5"/>
        <v>432537.18800223543</v>
      </c>
      <c r="D15" s="84">
        <f t="shared" si="0"/>
        <v>134234.4758183769</v>
      </c>
      <c r="E15" s="227">
        <f>SUM($B$3:B15)*FurnaceSaturation</f>
        <v>14561.702597732803</v>
      </c>
      <c r="F15" s="227">
        <f>SUM($B$3:B15)*DHWSaturation</f>
        <v>17328.041877513177</v>
      </c>
      <c r="G15" s="227">
        <f>SUM($B$3:B15)</f>
        <v>19210.689442919265</v>
      </c>
      <c r="H15" s="227">
        <f>SUM($B$3:B15)</f>
        <v>19210.689442919265</v>
      </c>
      <c r="I15" s="227">
        <f>SUM($B$3:B15)-E15</f>
        <v>4648.9868451864622</v>
      </c>
      <c r="J15" s="227">
        <f>SUM($B$3:B15)-F15</f>
        <v>1882.6475654060887</v>
      </c>
      <c r="K15" s="227">
        <f>SUM($B$3:B15)</f>
        <v>19210.689442919265</v>
      </c>
      <c r="L15" s="84"/>
      <c r="M15" s="84"/>
      <c r="N15" s="84"/>
      <c r="O15" s="84"/>
      <c r="P15" s="84"/>
      <c r="Q15" s="84"/>
      <c r="R15" s="84"/>
      <c r="S15" s="227">
        <f t="shared" si="6"/>
        <v>8464.7809195030241</v>
      </c>
      <c r="T15" s="227">
        <f t="shared" si="7"/>
        <v>10799.281937819705</v>
      </c>
      <c r="U15" s="227">
        <v>0</v>
      </c>
      <c r="V15" s="227">
        <f t="shared" si="8"/>
        <v>3106.4403263325612</v>
      </c>
      <c r="W15" s="227">
        <f t="shared" si="9"/>
        <v>2913.7928642344177</v>
      </c>
      <c r="X15" s="227">
        <f t="shared" si="10"/>
        <v>1144.0089917535377</v>
      </c>
      <c r="Y15" s="227">
        <v>0</v>
      </c>
      <c r="Z15" s="84">
        <f>E15+SUM(S$3:S15)</f>
        <v>167032.35103513679</v>
      </c>
      <c r="AA15" s="84">
        <f>F15+SUM(T$3:T15)</f>
        <v>282155.72419981909</v>
      </c>
      <c r="AB15" s="84">
        <f>G15+SUM(U$3:U15)</f>
        <v>19210.689442919265</v>
      </c>
      <c r="AC15" s="84">
        <f>H15+SUM(V$3:V15)</f>
        <v>82358.761502566893</v>
      </c>
      <c r="AD15" s="84">
        <f>I15+SUM(W$3:W15)</f>
        <v>63880.89939725904</v>
      </c>
      <c r="AE15" s="84">
        <f>J15+SUM(X$3:X15)</f>
        <v>32092.563498437175</v>
      </c>
      <c r="AF15" s="84">
        <f>K15+SUM(Y$3:Y15)</f>
        <v>19210.689442919265</v>
      </c>
      <c r="AG15" s="227">
        <f>L$3-SUM(S$3:S15)</f>
        <v>160830.83747055745</v>
      </c>
      <c r="AH15" s="227">
        <f>M$3-SUM(T$3:T15)</f>
        <v>107992.81937819702</v>
      </c>
      <c r="AI15" s="227">
        <f>N$3-SUM(U$3:U15)</f>
        <v>413326.49855931586</v>
      </c>
      <c r="AJ15" s="227">
        <f>O$3-SUM(V$3:V15)</f>
        <v>43490.164568655862</v>
      </c>
      <c r="AK15" s="227">
        <f>P$3-SUM(W$3:W15)</f>
        <v>40793.100099281844</v>
      </c>
      <c r="AL15" s="227">
        <f>Q$3-SUM(X$3:X15)</f>
        <v>10296.08092578184</v>
      </c>
      <c r="AM15" s="227">
        <f>R$3-SUM(Y$3:Y15)</f>
        <v>413326.49855931586</v>
      </c>
      <c r="AN15" s="84">
        <f t="shared" si="3"/>
        <v>19811.641956827603</v>
      </c>
      <c r="AO15" s="84">
        <f t="shared" si="4"/>
        <v>4115.1747179922259</v>
      </c>
      <c r="AP15" s="85">
        <f>(GasEmissions*SUMPRODUCT(GasUEC_NEW,Z15:AB15)+'stock-flow model'!$B14*SUMPRODUCT(ElecUEC_NEW,AC15:AF15)/1000)+(GasEmissions*SUMPRODUCT(GasUECs,AG15:AI15)+'stock-flow model'!$B14*SUMPRODUCT(ElecUECs,AJ15:AM15)/1000)</f>
        <v>818485.67028783332</v>
      </c>
    </row>
    <row r="16" spans="1:43" x14ac:dyDescent="0.3">
      <c r="A16" s="92">
        <v>2033</v>
      </c>
      <c r="B16" s="86">
        <f>'Housing Stock Profile'!$D$18</f>
        <v>1600.8907869099392</v>
      </c>
      <c r="C16" s="86">
        <f t="shared" si="5"/>
        <v>434138.07878914539</v>
      </c>
      <c r="D16" s="84">
        <f t="shared" si="0"/>
        <v>134731.29954032289</v>
      </c>
      <c r="E16" s="227">
        <f>SUM($B$3:B16)*FurnaceSaturation</f>
        <v>15775.177814210536</v>
      </c>
      <c r="F16" s="227">
        <f>SUM($B$3:B16)*DHWSaturation</f>
        <v>18772.045367305942</v>
      </c>
      <c r="G16" s="227">
        <f>SUM($B$3:B16)</f>
        <v>20811.580229829204</v>
      </c>
      <c r="H16" s="227">
        <f>SUM($B$3:B16)</f>
        <v>20811.580229829204</v>
      </c>
      <c r="I16" s="227">
        <f>SUM($B$3:B16)-E16</f>
        <v>5036.4024156186679</v>
      </c>
      <c r="J16" s="227">
        <f>SUM($B$3:B16)-F16</f>
        <v>2039.5348625232618</v>
      </c>
      <c r="K16" s="227">
        <f>SUM($B$3:B16)</f>
        <v>20811.580229829204</v>
      </c>
      <c r="L16" s="84"/>
      <c r="M16" s="84"/>
      <c r="N16" s="84"/>
      <c r="O16" s="84"/>
      <c r="P16" s="84"/>
      <c r="Q16" s="84"/>
      <c r="R16" s="84"/>
      <c r="S16" s="227">
        <f t="shared" si="6"/>
        <v>8041.5418735278727</v>
      </c>
      <c r="T16" s="227">
        <f t="shared" si="7"/>
        <v>9817.5290343815468</v>
      </c>
      <c r="U16" s="227">
        <v>0</v>
      </c>
      <c r="V16" s="227">
        <f t="shared" si="8"/>
        <v>2899.3443045770573</v>
      </c>
      <c r="W16" s="227">
        <f t="shared" si="9"/>
        <v>2719.5400066187894</v>
      </c>
      <c r="X16" s="227">
        <f t="shared" si="10"/>
        <v>1029.6080925781841</v>
      </c>
      <c r="Y16" s="227">
        <v>0</v>
      </c>
      <c r="Z16" s="84">
        <f>E16+SUM(S$3:S16)</f>
        <v>176287.36812514238</v>
      </c>
      <c r="AA16" s="84">
        <f>F16+SUM(T$3:T16)</f>
        <v>293417.2567239934</v>
      </c>
      <c r="AB16" s="84">
        <f>G16+SUM(U$3:U16)</f>
        <v>20811.580229829204</v>
      </c>
      <c r="AC16" s="84">
        <f>H16+SUM(V$3:V16)</f>
        <v>86858.996594053897</v>
      </c>
      <c r="AD16" s="84">
        <f>I16+SUM(W$3:W16)</f>
        <v>66987.85497431003</v>
      </c>
      <c r="AE16" s="84">
        <f>J16+SUM(X$3:X16)</f>
        <v>33279.058888132531</v>
      </c>
      <c r="AF16" s="84">
        <f>K16+SUM(Y$3:Y16)</f>
        <v>20811.580229829204</v>
      </c>
      <c r="AG16" s="227">
        <f>L$3-SUM(S$3:S16)</f>
        <v>152789.29559702959</v>
      </c>
      <c r="AH16" s="227">
        <f>M$3-SUM(T$3:T16)</f>
        <v>98175.290343815461</v>
      </c>
      <c r="AI16" s="227">
        <f>N$3-SUM(U$3:U16)</f>
        <v>413326.49855931586</v>
      </c>
      <c r="AJ16" s="227">
        <f>O$3-SUM(V$3:V16)</f>
        <v>40590.820264078808</v>
      </c>
      <c r="AK16" s="227">
        <f>P$3-SUM(W$3:W16)</f>
        <v>38073.560092663058</v>
      </c>
      <c r="AL16" s="227">
        <f>Q$3-SUM(X$3:X16)</f>
        <v>9266.4728332036575</v>
      </c>
      <c r="AM16" s="227">
        <f>R$3-SUM(Y$3:Y16)</f>
        <v>413326.49855931586</v>
      </c>
      <c r="AN16" s="84">
        <f t="shared" si="3"/>
        <v>19884.968079903247</v>
      </c>
      <c r="AO16" s="84">
        <f t="shared" si="4"/>
        <v>4130.4056518293519</v>
      </c>
      <c r="AP16" s="85">
        <f>(GasEmissions*SUMPRODUCT(GasUEC_NEW,Z16:AB16)+'stock-flow model'!$B15*SUMPRODUCT(ElecUEC_NEW,AC16:AF16)/1000)+(GasEmissions*SUMPRODUCT(GasUECs,AG16:AI16)+'stock-flow model'!$B15*SUMPRODUCT(ElecUECs,AJ16:AM16)/1000)</f>
        <v>813814.58274867781</v>
      </c>
    </row>
    <row r="17" spans="1:42" x14ac:dyDescent="0.3">
      <c r="A17" s="92">
        <v>2034</v>
      </c>
      <c r="B17" s="86">
        <f>'Housing Stock Profile'!$D$18</f>
        <v>1600.8907869099392</v>
      </c>
      <c r="C17" s="86">
        <f t="shared" si="5"/>
        <v>435738.96957605536</v>
      </c>
      <c r="D17" s="84">
        <f t="shared" si="0"/>
        <v>135228.1232622689</v>
      </c>
      <c r="E17" s="227">
        <f>SUM($B$3:B17)*FurnaceSaturation</f>
        <v>16988.653030688271</v>
      </c>
      <c r="F17" s="227">
        <f>SUM($B$3:B17)*DHWSaturation</f>
        <v>20216.048857098707</v>
      </c>
      <c r="G17" s="227">
        <f>SUM($B$3:B17)</f>
        <v>22412.471016739142</v>
      </c>
      <c r="H17" s="227">
        <f>SUM($B$3:B17)</f>
        <v>22412.471016739142</v>
      </c>
      <c r="I17" s="227">
        <f>SUM($B$3:B17)-E17</f>
        <v>5423.8179860508717</v>
      </c>
      <c r="J17" s="227">
        <f>SUM($B$3:B17)-F17</f>
        <v>2196.422159640435</v>
      </c>
      <c r="K17" s="227">
        <f>SUM($B$3:B17)</f>
        <v>22412.471016739142</v>
      </c>
      <c r="L17" s="84"/>
      <c r="M17" s="84"/>
      <c r="N17" s="84"/>
      <c r="O17" s="84"/>
      <c r="P17" s="84"/>
      <c r="Q17" s="84"/>
      <c r="R17" s="84"/>
      <c r="S17" s="227">
        <f t="shared" si="6"/>
        <v>7639.4647798514798</v>
      </c>
      <c r="T17" s="227">
        <f t="shared" si="7"/>
        <v>8925.0263948923148</v>
      </c>
      <c r="U17" s="227">
        <v>0</v>
      </c>
      <c r="V17" s="227">
        <f t="shared" si="8"/>
        <v>2706.0546842719205</v>
      </c>
      <c r="W17" s="227">
        <f t="shared" si="9"/>
        <v>2538.2373395108707</v>
      </c>
      <c r="X17" s="227">
        <f t="shared" si="10"/>
        <v>926.64728332036577</v>
      </c>
      <c r="Y17" s="227">
        <v>0</v>
      </c>
      <c r="Z17" s="84">
        <f>E17+SUM(S$3:S17)</f>
        <v>185140.30812147161</v>
      </c>
      <c r="AA17" s="84">
        <f>F17+SUM(T$3:T17)</f>
        <v>303786.28660867852</v>
      </c>
      <c r="AB17" s="84">
        <f>G17+SUM(U$3:U17)</f>
        <v>22412.471016739142</v>
      </c>
      <c r="AC17" s="84">
        <f>H17+SUM(V$3:V17)</f>
        <v>91165.942065235751</v>
      </c>
      <c r="AD17" s="84">
        <f>I17+SUM(W$3:W17)</f>
        <v>69913.507884253107</v>
      </c>
      <c r="AE17" s="84">
        <f>J17+SUM(X$3:X17)</f>
        <v>34362.59346857007</v>
      </c>
      <c r="AF17" s="84">
        <f>K17+SUM(Y$3:Y17)</f>
        <v>22412.471016739142</v>
      </c>
      <c r="AG17" s="227">
        <f>L$3-SUM(S$3:S17)</f>
        <v>145149.8308171781</v>
      </c>
      <c r="AH17" s="227">
        <f>M$3-SUM(T$3:T17)</f>
        <v>89250.263948923151</v>
      </c>
      <c r="AI17" s="227">
        <f>N$3-SUM(U$3:U17)</f>
        <v>413326.49855931586</v>
      </c>
      <c r="AJ17" s="227">
        <f>O$3-SUM(V$3:V17)</f>
        <v>37884.765579806888</v>
      </c>
      <c r="AK17" s="227">
        <f>P$3-SUM(W$3:W17)</f>
        <v>35535.322753152184</v>
      </c>
      <c r="AL17" s="227">
        <f>Q$3-SUM(X$3:X17)</f>
        <v>8339.8255498832914</v>
      </c>
      <c r="AM17" s="227">
        <f>R$3-SUM(Y$3:Y17)</f>
        <v>413326.49855931586</v>
      </c>
      <c r="AN17" s="84">
        <f t="shared" si="3"/>
        <v>19958.29420297889</v>
      </c>
      <c r="AO17" s="84">
        <f t="shared" si="4"/>
        <v>4145.6365856664779</v>
      </c>
      <c r="AP17" s="85">
        <f>(GasEmissions*SUMPRODUCT(GasUEC_NEW,Z17:AB17)+'stock-flow model'!$B16*SUMPRODUCT(ElecUEC_NEW,AC17:AF17)/1000)+(GasEmissions*SUMPRODUCT(GasUECs,AG17:AI17)+'stock-flow model'!$B16*SUMPRODUCT(ElecUECs,AJ17:AM17)/1000)</f>
        <v>809732.0136712247</v>
      </c>
    </row>
    <row r="18" spans="1:42" x14ac:dyDescent="0.3">
      <c r="A18" s="92">
        <v>2035</v>
      </c>
      <c r="B18" s="86">
        <f>'Housing Stock Profile'!$D$18</f>
        <v>1600.8907869099392</v>
      </c>
      <c r="C18" s="86">
        <f t="shared" si="5"/>
        <v>437339.86036296532</v>
      </c>
      <c r="D18" s="84">
        <f t="shared" si="0"/>
        <v>135724.94698421488</v>
      </c>
      <c r="E18" s="227">
        <f>SUM($B$3:B18)*FurnaceSaturation</f>
        <v>18202.128247166002</v>
      </c>
      <c r="F18" s="227">
        <f>SUM($B$3:B18)*DHWSaturation</f>
        <v>21660.052346891473</v>
      </c>
      <c r="G18" s="227">
        <f>SUM($B$3:B18)</f>
        <v>24013.361803649081</v>
      </c>
      <c r="H18" s="227">
        <f>SUM($B$3:B18)</f>
        <v>24013.361803649081</v>
      </c>
      <c r="I18" s="227">
        <f>SUM($B$3:B18)-E18</f>
        <v>5811.2335564830792</v>
      </c>
      <c r="J18" s="227">
        <f>SUM($B$3:B18)-F18</f>
        <v>2353.3094567576081</v>
      </c>
      <c r="K18" s="227">
        <f>SUM($B$3:B18)</f>
        <v>24013.361803649081</v>
      </c>
      <c r="L18" s="84"/>
      <c r="M18" s="84"/>
      <c r="N18" s="84"/>
      <c r="O18" s="84"/>
      <c r="P18" s="84"/>
      <c r="Q18" s="84"/>
      <c r="R18" s="84"/>
      <c r="S18" s="227">
        <f t="shared" si="6"/>
        <v>7257.491540858905</v>
      </c>
      <c r="T18" s="227">
        <f t="shared" si="7"/>
        <v>8113.6603589930137</v>
      </c>
      <c r="U18" s="227">
        <v>0</v>
      </c>
      <c r="V18" s="227">
        <f t="shared" si="8"/>
        <v>2525.6510386537925</v>
      </c>
      <c r="W18" s="227">
        <f t="shared" si="9"/>
        <v>2369.0215168768123</v>
      </c>
      <c r="X18" s="227">
        <f t="shared" si="10"/>
        <v>833.98255498832918</v>
      </c>
      <c r="Y18" s="227">
        <v>0</v>
      </c>
      <c r="Z18" s="84">
        <f>E18+SUM(S$3:S18)</f>
        <v>193611.27487880824</v>
      </c>
      <c r="AA18" s="84">
        <f>F18+SUM(T$3:T18)</f>
        <v>313343.95045746426</v>
      </c>
      <c r="AB18" s="84">
        <f>G18+SUM(U$3:U18)</f>
        <v>24013.361803649081</v>
      </c>
      <c r="AC18" s="84">
        <f>H18+SUM(V$3:V18)</f>
        <v>95292.483890799485</v>
      </c>
      <c r="AD18" s="84">
        <f>I18+SUM(W$3:W18)</f>
        <v>72669.94497156213</v>
      </c>
      <c r="AE18" s="84">
        <f>J18+SUM(X$3:X18)</f>
        <v>35353.463320675568</v>
      </c>
      <c r="AF18" s="84">
        <f>K18+SUM(Y$3:Y18)</f>
        <v>24013.361803649081</v>
      </c>
      <c r="AG18" s="227">
        <f>L$3-SUM(S$3:S18)</f>
        <v>137892.3392763192</v>
      </c>
      <c r="AH18" s="227">
        <f>M$3-SUM(T$3:T18)</f>
        <v>81136.603589930164</v>
      </c>
      <c r="AI18" s="227">
        <f>N$3-SUM(U$3:U18)</f>
        <v>413326.49855931586</v>
      </c>
      <c r="AJ18" s="227">
        <f>O$3-SUM(V$3:V18)</f>
        <v>35359.114541153089</v>
      </c>
      <c r="AK18" s="227">
        <f>P$3-SUM(W$3:W18)</f>
        <v>33166.301236275365</v>
      </c>
      <c r="AL18" s="227">
        <f>Q$3-SUM(X$3:X18)</f>
        <v>7505.8429948949633</v>
      </c>
      <c r="AM18" s="227">
        <f>R$3-SUM(Y$3:Y18)</f>
        <v>413326.49855931586</v>
      </c>
      <c r="AN18" s="84">
        <f t="shared" si="3"/>
        <v>20031.620326054534</v>
      </c>
      <c r="AO18" s="84">
        <f t="shared" si="4"/>
        <v>4160.8675195036039</v>
      </c>
      <c r="AP18" s="85">
        <f>(GasEmissions*SUMPRODUCT(GasUEC_NEW,Z18:AB18)+'stock-flow model'!$B17*SUMPRODUCT(ElecUEC_NEW,AC18:AF18)/1000)+(GasEmissions*SUMPRODUCT(GasUECs,AG18:AI18)+'stock-flow model'!$B17*SUMPRODUCT(ElecUECs,AJ18:AM18)/1000)</f>
        <v>806188.38880932797</v>
      </c>
    </row>
    <row r="19" spans="1:42" x14ac:dyDescent="0.3">
      <c r="A19" s="92">
        <v>2036</v>
      </c>
      <c r="B19" s="86">
        <f>'Housing Stock Profile'!$D$18</f>
        <v>1600.8907869099392</v>
      </c>
      <c r="C19" s="86">
        <f t="shared" si="5"/>
        <v>438940.75114987529</v>
      </c>
      <c r="D19" s="84">
        <f t="shared" si="0"/>
        <v>136221.7707061609</v>
      </c>
      <c r="E19" s="227">
        <f>SUM($B$3:B19)*FurnaceSaturation</f>
        <v>19415.603463643736</v>
      </c>
      <c r="F19" s="227">
        <f>SUM($B$3:B19)*DHWSaturation</f>
        <v>23104.055836684234</v>
      </c>
      <c r="G19" s="227">
        <f>SUM($B$3:B19)</f>
        <v>25614.252590559019</v>
      </c>
      <c r="H19" s="227">
        <f>SUM($B$3:B19)</f>
        <v>25614.252590559019</v>
      </c>
      <c r="I19" s="227">
        <f>SUM($B$3:B19)-E19</f>
        <v>6198.649126915283</v>
      </c>
      <c r="J19" s="227">
        <f>SUM($B$3:B19)-F19</f>
        <v>2510.1967538747849</v>
      </c>
      <c r="K19" s="227">
        <f>SUM($B$3:B19)</f>
        <v>25614.252590559019</v>
      </c>
      <c r="L19" s="84"/>
      <c r="M19" s="84"/>
      <c r="N19" s="84"/>
      <c r="O19" s="84"/>
      <c r="P19" s="84"/>
      <c r="Q19" s="84"/>
      <c r="R19" s="84"/>
      <c r="S19" s="227">
        <f t="shared" si="6"/>
        <v>6894.6169638159599</v>
      </c>
      <c r="T19" s="227">
        <f t="shared" si="7"/>
        <v>7376.0548718118334</v>
      </c>
      <c r="U19" s="227">
        <v>0</v>
      </c>
      <c r="V19" s="227">
        <f t="shared" si="8"/>
        <v>2357.274302743539</v>
      </c>
      <c r="W19" s="227">
        <f t="shared" si="9"/>
        <v>2211.0867490850242</v>
      </c>
      <c r="X19" s="227">
        <f t="shared" si="10"/>
        <v>750.5842994894964</v>
      </c>
      <c r="Y19" s="227">
        <v>0</v>
      </c>
      <c r="Z19" s="84">
        <f>E19+SUM(S$3:S19)</f>
        <v>201719.36705910193</v>
      </c>
      <c r="AA19" s="84">
        <f>F19+SUM(T$3:T19)</f>
        <v>322164.00881906884</v>
      </c>
      <c r="AB19" s="84">
        <f>G19+SUM(U$3:U19)</f>
        <v>25614.252590559019</v>
      </c>
      <c r="AC19" s="84">
        <f>H19+SUM(V$3:V19)</f>
        <v>99250.648980452956</v>
      </c>
      <c r="AD19" s="84">
        <f>I19+SUM(W$3:W19)</f>
        <v>75268.447291079356</v>
      </c>
      <c r="AE19" s="84">
        <f>J19+SUM(X$3:X19)</f>
        <v>36260.934917282248</v>
      </c>
      <c r="AF19" s="84">
        <f>K19+SUM(Y$3:Y19)</f>
        <v>25614.252590559019</v>
      </c>
      <c r="AG19" s="227">
        <f>L$3-SUM(S$3:S19)</f>
        <v>130997.72231250323</v>
      </c>
      <c r="AH19" s="227">
        <f>M$3-SUM(T$3:T19)</f>
        <v>73760.548718118342</v>
      </c>
      <c r="AI19" s="227">
        <f>N$3-SUM(U$3:U19)</f>
        <v>413326.49855931586</v>
      </c>
      <c r="AJ19" s="227">
        <f>O$3-SUM(V$3:V19)</f>
        <v>33001.840238409553</v>
      </c>
      <c r="AK19" s="227">
        <f>P$3-SUM(W$3:W19)</f>
        <v>30955.214487190344</v>
      </c>
      <c r="AL19" s="227">
        <f>Q$3-SUM(X$3:X19)</f>
        <v>6755.2586954054641</v>
      </c>
      <c r="AM19" s="227">
        <f>R$3-SUM(Y$3:Y19)</f>
        <v>413326.49855931586</v>
      </c>
      <c r="AN19" s="84">
        <f t="shared" si="3"/>
        <v>20104.946449130173</v>
      </c>
      <c r="AO19" s="84">
        <f t="shared" si="4"/>
        <v>4176.09845334073</v>
      </c>
      <c r="AP19" s="85">
        <f>(GasEmissions*SUMPRODUCT(GasUEC_NEW,Z19:AB19)+'stock-flow model'!$B18*SUMPRODUCT(ElecUEC_NEW,AC19:AF19)/1000)+(GasEmissions*SUMPRODUCT(GasUECs,AG19:AI19)+'stock-flow model'!$B18*SUMPRODUCT(ElecUECs,AJ19:AM19)/1000)</f>
        <v>803138.44429488038</v>
      </c>
    </row>
    <row r="20" spans="1:42" x14ac:dyDescent="0.3">
      <c r="A20" s="92">
        <v>2037</v>
      </c>
      <c r="B20" s="86">
        <f>'Housing Stock Profile'!$D$18</f>
        <v>1600.8907869099392</v>
      </c>
      <c r="C20" s="86">
        <f t="shared" si="5"/>
        <v>440541.64193678525</v>
      </c>
      <c r="D20" s="84">
        <f t="shared" si="0"/>
        <v>136718.59442810691</v>
      </c>
      <c r="E20" s="227">
        <f>SUM($B$3:B20)*FurnaceSaturation</f>
        <v>20629.078680121471</v>
      </c>
      <c r="F20" s="227">
        <f>SUM($B$3:B20)*DHWSaturation</f>
        <v>24548.059326477</v>
      </c>
      <c r="G20" s="227">
        <f>SUM($B$3:B20)</f>
        <v>27215.143377468958</v>
      </c>
      <c r="H20" s="227">
        <f>SUM($B$3:B20)</f>
        <v>27215.143377468958</v>
      </c>
      <c r="I20" s="227">
        <f>SUM($B$3:B20)-E20</f>
        <v>6586.0646973474868</v>
      </c>
      <c r="J20" s="227">
        <f>SUM($B$3:B20)-F20</f>
        <v>2667.0840509919581</v>
      </c>
      <c r="K20" s="227">
        <f>SUM($B$3:B20)</f>
        <v>27215.143377468958</v>
      </c>
      <c r="L20" s="84"/>
      <c r="M20" s="84"/>
      <c r="N20" s="84"/>
      <c r="O20" s="84"/>
      <c r="P20" s="84"/>
      <c r="Q20" s="84"/>
      <c r="R20" s="84"/>
      <c r="S20" s="227">
        <f t="shared" si="6"/>
        <v>6549.8861156251623</v>
      </c>
      <c r="T20" s="227">
        <f t="shared" si="7"/>
        <v>6705.5044289198495</v>
      </c>
      <c r="U20" s="227">
        <v>0</v>
      </c>
      <c r="V20" s="227">
        <f t="shared" si="8"/>
        <v>2200.1226825606368</v>
      </c>
      <c r="W20" s="227">
        <f t="shared" si="9"/>
        <v>2063.6809658126895</v>
      </c>
      <c r="X20" s="227">
        <f t="shared" si="10"/>
        <v>675.52586954054641</v>
      </c>
      <c r="Y20" s="227">
        <v>0</v>
      </c>
      <c r="Z20" s="84">
        <f>E20+SUM(S$3:S20)</f>
        <v>209482.72839120484</v>
      </c>
      <c r="AA20" s="84">
        <f>F20+SUM(T$3:T20)</f>
        <v>330313.51673778147</v>
      </c>
      <c r="AB20" s="84">
        <f>G20+SUM(U$3:U20)</f>
        <v>27215.143377468958</v>
      </c>
      <c r="AC20" s="84">
        <f>H20+SUM(V$3:V20)</f>
        <v>103051.66244992355</v>
      </c>
      <c r="AD20" s="84">
        <f>I20+SUM(W$3:W20)</f>
        <v>77719.543827324262</v>
      </c>
      <c r="AE20" s="84">
        <f>J20+SUM(X$3:X20)</f>
        <v>37093.348083939964</v>
      </c>
      <c r="AF20" s="84">
        <f>K20+SUM(Y$3:Y20)</f>
        <v>27215.143377468958</v>
      </c>
      <c r="AG20" s="227">
        <f>L$3-SUM(S$3:S20)</f>
        <v>124447.83619687808</v>
      </c>
      <c r="AH20" s="227">
        <f>M$3-SUM(T$3:T20)</f>
        <v>67055.044289198471</v>
      </c>
      <c r="AI20" s="227">
        <f>N$3-SUM(U$3:U20)</f>
        <v>413326.49855931586</v>
      </c>
      <c r="AJ20" s="227">
        <f>O$3-SUM(V$3:V20)</f>
        <v>30801.717555848911</v>
      </c>
      <c r="AK20" s="227">
        <f>P$3-SUM(W$3:W20)</f>
        <v>28891.533521377656</v>
      </c>
      <c r="AL20" s="227">
        <f>Q$3-SUM(X$3:X20)</f>
        <v>6079.7328258649213</v>
      </c>
      <c r="AM20" s="227">
        <f>R$3-SUM(Y$3:Y20)</f>
        <v>413326.49855931586</v>
      </c>
      <c r="AN20" s="84">
        <f t="shared" si="3"/>
        <v>20178.272572205817</v>
      </c>
      <c r="AO20" s="84">
        <f t="shared" si="4"/>
        <v>4191.329387177856</v>
      </c>
      <c r="AP20" s="85">
        <f>(GasEmissions*SUMPRODUCT(GasUEC_NEW,Z20:AB20)+'stock-flow model'!$B19*SUMPRODUCT(ElecUEC_NEW,AC20:AF20)/1000)+(GasEmissions*SUMPRODUCT(GasUECs,AG20:AI20)+'stock-flow model'!$B19*SUMPRODUCT(ElecUECs,AJ20:AM20)/1000)</f>
        <v>800540.8446038476</v>
      </c>
    </row>
    <row r="21" spans="1:42" x14ac:dyDescent="0.3">
      <c r="A21" s="92">
        <v>2038</v>
      </c>
      <c r="B21" s="86">
        <f>'Housing Stock Profile'!$D$18</f>
        <v>1600.8907869099392</v>
      </c>
      <c r="C21" s="86">
        <f t="shared" si="5"/>
        <v>442142.53272369521</v>
      </c>
      <c r="D21" s="84">
        <f t="shared" si="0"/>
        <v>137215.41815005289</v>
      </c>
      <c r="E21" s="227">
        <f>SUM($B$3:B21)*FurnaceSaturation</f>
        <v>21842.553896599202</v>
      </c>
      <c r="F21" s="227">
        <f>SUM($B$3:B21)*DHWSaturation</f>
        <v>25992.062816269765</v>
      </c>
      <c r="G21" s="227">
        <f>SUM($B$3:B21)</f>
        <v>28816.034164378896</v>
      </c>
      <c r="H21" s="227">
        <f>SUM($B$3:B21)</f>
        <v>28816.034164378896</v>
      </c>
      <c r="I21" s="227">
        <f>SUM($B$3:B21)-E21</f>
        <v>6973.4802677796943</v>
      </c>
      <c r="J21" s="227">
        <f>SUM($B$3:B21)-F21</f>
        <v>2823.9713481091312</v>
      </c>
      <c r="K21" s="227">
        <f>SUM($B$3:B21)</f>
        <v>28816.034164378896</v>
      </c>
      <c r="L21" s="84"/>
      <c r="M21" s="84"/>
      <c r="N21" s="84"/>
      <c r="O21" s="84"/>
      <c r="P21" s="84"/>
      <c r="Q21" s="84"/>
      <c r="R21" s="84"/>
      <c r="S21" s="227">
        <f t="shared" si="6"/>
        <v>6222.3918098439044</v>
      </c>
      <c r="T21" s="227">
        <f t="shared" si="7"/>
        <v>6095.9131171998615</v>
      </c>
      <c r="U21" s="227">
        <v>0</v>
      </c>
      <c r="V21" s="227">
        <f t="shared" si="8"/>
        <v>2053.4478370565939</v>
      </c>
      <c r="W21" s="227">
        <f t="shared" si="9"/>
        <v>1926.1022347585103</v>
      </c>
      <c r="X21" s="227">
        <f t="shared" si="10"/>
        <v>607.97328258649213</v>
      </c>
      <c r="Y21" s="227">
        <v>0</v>
      </c>
      <c r="Z21" s="84">
        <f>E21+SUM(S$3:S21)</f>
        <v>216918.59541752649</v>
      </c>
      <c r="AA21" s="84">
        <f>F21+SUM(T$3:T21)</f>
        <v>337853.43334477406</v>
      </c>
      <c r="AB21" s="84">
        <f>G21+SUM(U$3:U21)</f>
        <v>28816.034164378896</v>
      </c>
      <c r="AC21" s="84">
        <f>H21+SUM(V$3:V21)</f>
        <v>106706.00107389007</v>
      </c>
      <c r="AD21" s="84">
        <f>I21+SUM(W$3:W21)</f>
        <v>80033.061632514975</v>
      </c>
      <c r="AE21" s="84">
        <f>J21+SUM(X$3:X21)</f>
        <v>37858.208663643629</v>
      </c>
      <c r="AF21" s="84">
        <f>K21+SUM(Y$3:Y21)</f>
        <v>28816.034164378896</v>
      </c>
      <c r="AG21" s="227">
        <f>L$3-SUM(S$3:S21)</f>
        <v>118225.44438703416</v>
      </c>
      <c r="AH21" s="227">
        <f>M$3-SUM(T$3:T21)</f>
        <v>60959.131171998626</v>
      </c>
      <c r="AI21" s="227">
        <f>N$3-SUM(U$3:U21)</f>
        <v>413326.49855931586</v>
      </c>
      <c r="AJ21" s="227">
        <f>O$3-SUM(V$3:V21)</f>
        <v>28748.269718792319</v>
      </c>
      <c r="AK21" s="227">
        <f>P$3-SUM(W$3:W21)</f>
        <v>26965.431286619147</v>
      </c>
      <c r="AL21" s="227">
        <f>Q$3-SUM(X$3:X21)</f>
        <v>5471.7595432784292</v>
      </c>
      <c r="AM21" s="227">
        <f>R$3-SUM(Y$3:Y21)</f>
        <v>413326.49855931586</v>
      </c>
      <c r="AN21" s="84">
        <f t="shared" si="3"/>
        <v>20251.59869528146</v>
      </c>
      <c r="AO21" s="84">
        <f t="shared" si="4"/>
        <v>4206.560321014982</v>
      </c>
      <c r="AP21" s="85">
        <f>(GasEmissions*SUMPRODUCT(GasUEC_NEW,Z21:AB21)+'stock-flow model'!$B20*SUMPRODUCT(ElecUEC_NEW,AC21:AF21)/1000)+(GasEmissions*SUMPRODUCT(GasUECs,AG21:AI21)+'stock-flow model'!$B20*SUMPRODUCT(ElecUECs,AJ21:AM21)/1000)</f>
        <v>798357.83476172923</v>
      </c>
    </row>
    <row r="22" spans="1:42" x14ac:dyDescent="0.3">
      <c r="A22" s="92">
        <v>2039</v>
      </c>
      <c r="B22" s="86">
        <f>'Housing Stock Profile'!$D$18</f>
        <v>1600.8907869099392</v>
      </c>
      <c r="C22" s="86">
        <f t="shared" si="5"/>
        <v>443743.42351060518</v>
      </c>
      <c r="D22" s="84">
        <f t="shared" si="0"/>
        <v>137712.24187199891</v>
      </c>
      <c r="E22" s="227">
        <f>SUM($B$3:B22)*FurnaceSaturation</f>
        <v>23056.029113076936</v>
      </c>
      <c r="F22" s="227">
        <f>SUM($B$3:B22)*DHWSaturation</f>
        <v>27436.06630606253</v>
      </c>
      <c r="G22" s="227">
        <f>SUM($B$3:B22)</f>
        <v>30416.924951288835</v>
      </c>
      <c r="H22" s="227">
        <f>SUM($B$3:B22)</f>
        <v>30416.924951288835</v>
      </c>
      <c r="I22" s="227">
        <f>SUM($B$3:B22)-E22</f>
        <v>7360.8958382118981</v>
      </c>
      <c r="J22" s="227">
        <f>SUM($B$3:B22)-F22</f>
        <v>2980.8586452263044</v>
      </c>
      <c r="K22" s="227">
        <f>SUM($B$3:B22)</f>
        <v>30416.924951288835</v>
      </c>
      <c r="L22" s="84"/>
      <c r="M22" s="84"/>
      <c r="N22" s="84"/>
      <c r="O22" s="84"/>
      <c r="P22" s="84"/>
      <c r="Q22" s="84"/>
      <c r="R22" s="84"/>
      <c r="S22" s="227">
        <f t="shared" si="6"/>
        <v>5911.2722193517084</v>
      </c>
      <c r="T22" s="227">
        <f t="shared" si="7"/>
        <v>5541.7391974544207</v>
      </c>
      <c r="U22" s="227">
        <v>0</v>
      </c>
      <c r="V22" s="227">
        <f t="shared" si="8"/>
        <v>1916.5513145861546</v>
      </c>
      <c r="W22" s="227">
        <f t="shared" si="9"/>
        <v>1797.6954191079431</v>
      </c>
      <c r="X22" s="227">
        <f t="shared" si="10"/>
        <v>547.17595432784299</v>
      </c>
      <c r="Y22" s="227">
        <v>0</v>
      </c>
      <c r="Z22" s="84">
        <f>E22+SUM(S$3:S22)</f>
        <v>224043.34285335592</v>
      </c>
      <c r="AA22" s="84">
        <f>F22+SUM(T$3:T22)</f>
        <v>344839.17603202123</v>
      </c>
      <c r="AB22" s="84">
        <f>G22+SUM(U$3:U22)</f>
        <v>30416.924951288835</v>
      </c>
      <c r="AC22" s="84">
        <f>H22+SUM(V$3:V22)</f>
        <v>110223.44317538616</v>
      </c>
      <c r="AD22" s="84">
        <f>I22+SUM(W$3:W22)</f>
        <v>82218.172622055121</v>
      </c>
      <c r="AE22" s="84">
        <f>J22+SUM(X$3:X22)</f>
        <v>38562.271915088648</v>
      </c>
      <c r="AF22" s="84">
        <f>K22+SUM(Y$3:Y22)</f>
        <v>30416.924951288835</v>
      </c>
      <c r="AG22" s="227">
        <f>L$3-SUM(S$3:S22)</f>
        <v>112314.17216768247</v>
      </c>
      <c r="AH22" s="227">
        <f>M$3-SUM(T$3:T22)</f>
        <v>55417.391974544211</v>
      </c>
      <c r="AI22" s="227">
        <f>N$3-SUM(U$3:U22)</f>
        <v>413326.49855931586</v>
      </c>
      <c r="AJ22" s="227">
        <f>O$3-SUM(V$3:V22)</f>
        <v>26831.718404206171</v>
      </c>
      <c r="AK22" s="227">
        <f>P$3-SUM(W$3:W22)</f>
        <v>25167.735867511205</v>
      </c>
      <c r="AL22" s="227">
        <f>Q$3-SUM(X$3:X22)</f>
        <v>4924.5835889505834</v>
      </c>
      <c r="AM22" s="227">
        <f>R$3-SUM(Y$3:Y22)</f>
        <v>413326.49855931586</v>
      </c>
      <c r="AN22" s="84">
        <f t="shared" si="3"/>
        <v>20324.924818357104</v>
      </c>
      <c r="AO22" s="84">
        <f t="shared" si="4"/>
        <v>4221.7912548521081</v>
      </c>
      <c r="AP22" s="85">
        <f>(GasEmissions*SUMPRODUCT(GasUEC_NEW,Z22:AB22)+'stock-flow model'!$B21*SUMPRODUCT(ElecUEC_NEW,AC22:AF22)/1000)+(GasEmissions*SUMPRODUCT(GasUECs,AG22:AI22)+'stock-flow model'!$B21*SUMPRODUCT(ElecUECs,AJ22:AM22)/1000)</f>
        <v>796554.92370032519</v>
      </c>
    </row>
    <row r="23" spans="1:42" x14ac:dyDescent="0.3">
      <c r="A23" s="92">
        <v>2040</v>
      </c>
      <c r="B23" s="86">
        <f>'Housing Stock Profile'!$D$18</f>
        <v>1600.8907869099392</v>
      </c>
      <c r="C23" s="86">
        <f t="shared" si="5"/>
        <v>445344.31429751514</v>
      </c>
      <c r="D23" s="84">
        <f t="shared" si="0"/>
        <v>138209.06559394489</v>
      </c>
      <c r="E23" s="227">
        <f>SUM($B$3:B23)*FurnaceSaturation</f>
        <v>24269.504329554671</v>
      </c>
      <c r="F23" s="227">
        <f>SUM($B$3:B23)*DHWSaturation</f>
        <v>28880.069795855296</v>
      </c>
      <c r="G23" s="227">
        <f>SUM($B$3:B23)</f>
        <v>32017.815738198773</v>
      </c>
      <c r="H23" s="227">
        <f>SUM($B$3:B23)</f>
        <v>32017.815738198773</v>
      </c>
      <c r="I23" s="227">
        <f>SUM($B$3:B23)-E23</f>
        <v>7748.3114086441019</v>
      </c>
      <c r="J23" s="227">
        <f>SUM($B$3:B23)-F23</f>
        <v>3137.7459423434775</v>
      </c>
      <c r="K23" s="227">
        <f>SUM($B$3:B23)</f>
        <v>32017.815738198773</v>
      </c>
      <c r="L23" s="84"/>
      <c r="M23" s="84"/>
      <c r="N23" s="84"/>
      <c r="O23" s="84"/>
      <c r="P23" s="84"/>
      <c r="Q23" s="84"/>
      <c r="R23" s="84"/>
      <c r="S23" s="227">
        <f t="shared" si="6"/>
        <v>5615.7086083841241</v>
      </c>
      <c r="T23" s="227">
        <f t="shared" si="7"/>
        <v>5037.9447249585646</v>
      </c>
      <c r="U23" s="227">
        <v>0</v>
      </c>
      <c r="V23" s="227">
        <f t="shared" si="8"/>
        <v>1788.781226947078</v>
      </c>
      <c r="W23" s="227">
        <f t="shared" si="9"/>
        <v>1677.8490578340802</v>
      </c>
      <c r="X23" s="227">
        <f t="shared" si="10"/>
        <v>492.45835889505838</v>
      </c>
      <c r="Y23" s="227">
        <v>0</v>
      </c>
      <c r="Z23" s="84">
        <f>E23+SUM(S$3:S23)</f>
        <v>230872.52667821778</v>
      </c>
      <c r="AA23" s="84">
        <f>F23+SUM(T$3:T23)</f>
        <v>351321.12424677261</v>
      </c>
      <c r="AB23" s="84">
        <f>G23+SUM(U$3:U23)</f>
        <v>32017.815738198773</v>
      </c>
      <c r="AC23" s="84">
        <f>H23+SUM(V$3:V23)</f>
        <v>113613.11518924317</v>
      </c>
      <c r="AD23" s="84">
        <f>I23+SUM(W$3:W23)</f>
        <v>84283.437250321411</v>
      </c>
      <c r="AE23" s="84">
        <f>J23+SUM(X$3:X23)</f>
        <v>39211.617571100876</v>
      </c>
      <c r="AF23" s="84">
        <f>K23+SUM(Y$3:Y23)</f>
        <v>32017.815738198773</v>
      </c>
      <c r="AG23" s="227">
        <f>L$3-SUM(S$3:S23)</f>
        <v>106698.46355929834</v>
      </c>
      <c r="AH23" s="227">
        <f>M$3-SUM(T$3:T23)</f>
        <v>50379.447249585646</v>
      </c>
      <c r="AI23" s="227">
        <f>N$3-SUM(U$3:U23)</f>
        <v>413326.49855931586</v>
      </c>
      <c r="AJ23" s="227">
        <f>O$3-SUM(V$3:V23)</f>
        <v>25042.937177259097</v>
      </c>
      <c r="AK23" s="227">
        <f>P$3-SUM(W$3:W23)</f>
        <v>23489.886809677118</v>
      </c>
      <c r="AL23" s="227">
        <f>Q$3-SUM(X$3:X23)</f>
        <v>4432.1252300555279</v>
      </c>
      <c r="AM23" s="227">
        <f>R$3-SUM(Y$3:Y23)</f>
        <v>413326.49855931586</v>
      </c>
      <c r="AN23" s="84">
        <f t="shared" si="3"/>
        <v>20398.250941432743</v>
      </c>
      <c r="AO23" s="84">
        <f t="shared" si="4"/>
        <v>4237.0221886892341</v>
      </c>
      <c r="AP23" s="85">
        <f>(GasEmissions*SUMPRODUCT(GasUEC_NEW,Z23:AB23)+'stock-flow model'!$B22*SUMPRODUCT(ElecUEC_NEW,AC23:AF23)/1000)+(GasEmissions*SUMPRODUCT(GasUECs,AG23:AI23)+'stock-flow model'!$B22*SUMPRODUCT(ElecUECs,AJ23:AM23)/1000)</f>
        <v>795100.59595718724</v>
      </c>
    </row>
    <row r="24" spans="1:42" x14ac:dyDescent="0.3">
      <c r="A24" s="92">
        <v>2041</v>
      </c>
      <c r="B24" s="86">
        <f>'Housing Stock Profile'!$D$18</f>
        <v>1600.8907869099392</v>
      </c>
      <c r="C24" s="86">
        <f t="shared" si="5"/>
        <v>446945.20508442511</v>
      </c>
      <c r="D24" s="84">
        <f t="shared" si="0"/>
        <v>138705.8893158909</v>
      </c>
      <c r="E24" s="227">
        <f>SUM($B$3:B24)*FurnaceSaturation</f>
        <v>25482.979546032402</v>
      </c>
      <c r="F24" s="227">
        <f>SUM($B$3:B24)*DHWSaturation</f>
        <v>30324.073285648057</v>
      </c>
      <c r="G24" s="227">
        <f>SUM($B$3:B24)</f>
        <v>33618.706525108712</v>
      </c>
      <c r="H24" s="227">
        <f>SUM($B$3:B24)</f>
        <v>33618.706525108712</v>
      </c>
      <c r="I24" s="227">
        <f>SUM($B$3:B24)-E24</f>
        <v>8135.7269790763094</v>
      </c>
      <c r="J24" s="227">
        <f>SUM($B$3:B24)-F24</f>
        <v>3294.6332394606543</v>
      </c>
      <c r="K24" s="227">
        <f>SUM($B$3:B24)</f>
        <v>33618.706525108712</v>
      </c>
      <c r="L24" s="84"/>
      <c r="M24" s="84"/>
      <c r="N24" s="84"/>
      <c r="O24" s="84"/>
      <c r="P24" s="84"/>
      <c r="Q24" s="84"/>
      <c r="R24" s="84"/>
      <c r="S24" s="227">
        <f t="shared" si="6"/>
        <v>5334.9231779649172</v>
      </c>
      <c r="T24" s="227">
        <f t="shared" si="7"/>
        <v>4579.9497499623312</v>
      </c>
      <c r="U24" s="227">
        <v>0</v>
      </c>
      <c r="V24" s="227">
        <f t="shared" si="8"/>
        <v>1669.5291451506064</v>
      </c>
      <c r="W24" s="227">
        <f t="shared" si="9"/>
        <v>1565.9924539784745</v>
      </c>
      <c r="X24" s="227">
        <f t="shared" si="10"/>
        <v>443.21252300555284</v>
      </c>
      <c r="Y24" s="227">
        <v>0</v>
      </c>
      <c r="Z24" s="84">
        <f>E24+SUM(S$3:S24)</f>
        <v>237420.92507266044</v>
      </c>
      <c r="AA24" s="84">
        <f>F24+SUM(T$3:T24)</f>
        <v>357345.07748652768</v>
      </c>
      <c r="AB24" s="84">
        <f>G24+SUM(U$3:U24)</f>
        <v>33618.706525108712</v>
      </c>
      <c r="AC24" s="84">
        <f>H24+SUM(V$3:V24)</f>
        <v>116883.53512130372</v>
      </c>
      <c r="AD24" s="84">
        <f>I24+SUM(W$3:W24)</f>
        <v>86236.845274732084</v>
      </c>
      <c r="AE24" s="84">
        <f>J24+SUM(X$3:X24)</f>
        <v>39811.717391223603</v>
      </c>
      <c r="AF24" s="84">
        <f>K24+SUM(Y$3:Y24)</f>
        <v>33618.706525108712</v>
      </c>
      <c r="AG24" s="227">
        <f>L$3-SUM(S$3:S24)</f>
        <v>101363.54038133341</v>
      </c>
      <c r="AH24" s="227">
        <f>M$3-SUM(T$3:T24)</f>
        <v>45799.497499623336</v>
      </c>
      <c r="AI24" s="227">
        <f>N$3-SUM(U$3:U24)</f>
        <v>413326.49855931586</v>
      </c>
      <c r="AJ24" s="227">
        <f>O$3-SUM(V$3:V24)</f>
        <v>23373.408032108491</v>
      </c>
      <c r="AK24" s="227">
        <f>P$3-SUM(W$3:W24)</f>
        <v>21923.894355698649</v>
      </c>
      <c r="AL24" s="227">
        <f>Q$3-SUM(X$3:X24)</f>
        <v>3988.9127070499744</v>
      </c>
      <c r="AM24" s="227">
        <f>R$3-SUM(Y$3:Y24)</f>
        <v>413326.49855931586</v>
      </c>
      <c r="AN24" s="84">
        <f t="shared" si="3"/>
        <v>20471.577064508387</v>
      </c>
      <c r="AO24" s="84">
        <f t="shared" si="4"/>
        <v>4252.2531225263601</v>
      </c>
      <c r="AP24" s="85">
        <f>(GasEmissions*SUMPRODUCT(GasUEC_NEW,Z24:AB24)+'stock-flow model'!$B23*SUMPRODUCT(ElecUEC_NEW,AC24:AF24)/1000)+(GasEmissions*SUMPRODUCT(GasUECs,AG24:AI24)+'stock-flow model'!$B23*SUMPRODUCT(ElecUECs,AJ24:AM24)/1000)</f>
        <v>793966.0491632995</v>
      </c>
    </row>
    <row r="25" spans="1:42" x14ac:dyDescent="0.3">
      <c r="A25" s="92">
        <v>2042</v>
      </c>
      <c r="B25" s="86">
        <f>'Housing Stock Profile'!$D$18</f>
        <v>1600.8907869099392</v>
      </c>
      <c r="C25" s="86">
        <f t="shared" si="5"/>
        <v>448546.09587133507</v>
      </c>
      <c r="D25" s="84">
        <f t="shared" si="0"/>
        <v>139202.71303783692</v>
      </c>
      <c r="E25" s="227">
        <f>SUM($B$3:B25)*FurnaceSaturation</f>
        <v>26696.45476251014</v>
      </c>
      <c r="F25" s="227">
        <f>SUM($B$3:B25)*DHWSaturation</f>
        <v>31768.076775440826</v>
      </c>
      <c r="G25" s="227">
        <f>SUM($B$3:B25)</f>
        <v>35219.597312018654</v>
      </c>
      <c r="H25" s="227">
        <f>SUM($B$3:B25)</f>
        <v>35219.597312018654</v>
      </c>
      <c r="I25" s="227">
        <f>SUM($B$3:B25)-E25</f>
        <v>8523.1425495085132</v>
      </c>
      <c r="J25" s="227">
        <f>SUM($B$3:B25)-F25</f>
        <v>3451.5205365778274</v>
      </c>
      <c r="K25" s="227">
        <f>SUM($B$3:B25)</f>
        <v>35219.597312018654</v>
      </c>
      <c r="L25" s="84"/>
      <c r="M25" s="84"/>
      <c r="N25" s="84"/>
      <c r="O25" s="84"/>
      <c r="P25" s="84"/>
      <c r="Q25" s="84"/>
      <c r="R25" s="84"/>
      <c r="S25" s="227">
        <f t="shared" si="6"/>
        <v>5068.1770190666712</v>
      </c>
      <c r="T25" s="227">
        <f t="shared" si="7"/>
        <v>4163.5906817839395</v>
      </c>
      <c r="U25" s="227">
        <v>0</v>
      </c>
      <c r="V25" s="227">
        <f t="shared" si="8"/>
        <v>1558.2272021405661</v>
      </c>
      <c r="W25" s="227">
        <f t="shared" si="9"/>
        <v>1461.5929570465767</v>
      </c>
      <c r="X25" s="227">
        <f t="shared" si="10"/>
        <v>398.89127070499745</v>
      </c>
      <c r="Y25" s="227">
        <v>0</v>
      </c>
      <c r="Z25" s="84">
        <f>E25+SUM(S$3:S25)</f>
        <v>243702.57730820484</v>
      </c>
      <c r="AA25" s="84">
        <f>F25+SUM(T$3:T25)</f>
        <v>362952.67165810434</v>
      </c>
      <c r="AB25" s="84">
        <f>G25+SUM(U$3:U25)</f>
        <v>35219.597312018654</v>
      </c>
      <c r="AC25" s="84">
        <f>H25+SUM(V$3:V25)</f>
        <v>120042.65311035422</v>
      </c>
      <c r="AD25" s="84">
        <f>I25+SUM(W$3:W25)</f>
        <v>88085.85380221087</v>
      </c>
      <c r="AE25" s="84">
        <f>J25+SUM(X$3:X25)</f>
        <v>40367.495959045773</v>
      </c>
      <c r="AF25" s="84">
        <f>K25+SUM(Y$3:Y25)</f>
        <v>35219.597312018654</v>
      </c>
      <c r="AG25" s="227">
        <f>L$3-SUM(S$3:S25)</f>
        <v>96295.36336226674</v>
      </c>
      <c r="AH25" s="227">
        <f>M$3-SUM(T$3:T25)</f>
        <v>41635.906817839423</v>
      </c>
      <c r="AI25" s="227">
        <f>N$3-SUM(U$3:U25)</f>
        <v>413326.49855931586</v>
      </c>
      <c r="AJ25" s="227">
        <f>O$3-SUM(V$3:V25)</f>
        <v>21815.180829967925</v>
      </c>
      <c r="AK25" s="227">
        <f>P$3-SUM(W$3:W25)</f>
        <v>20462.301398652067</v>
      </c>
      <c r="AL25" s="227">
        <f>Q$3-SUM(X$3:X25)</f>
        <v>3590.0214363449777</v>
      </c>
      <c r="AM25" s="227">
        <f>R$3-SUM(Y$3:Y25)</f>
        <v>413326.49855931586</v>
      </c>
      <c r="AN25" s="84">
        <f t="shared" si="3"/>
        <v>20544.90318758403</v>
      </c>
      <c r="AO25" s="84">
        <f t="shared" si="4"/>
        <v>4267.4840563634862</v>
      </c>
      <c r="AP25" s="85">
        <f>(GasEmissions*SUMPRODUCT(GasUEC_NEW,Z25:AB25)+'stock-flow model'!$B24*SUMPRODUCT(ElecUEC_NEW,AC25:AF25)/1000)+(GasEmissions*SUMPRODUCT(GasUECs,AG25:AI25)+'stock-flow model'!$B24*SUMPRODUCT(ElecUECs,AJ25:AM25)/1000)</f>
        <v>793124.9549956515</v>
      </c>
    </row>
    <row r="26" spans="1:42" x14ac:dyDescent="0.3">
      <c r="A26" s="92">
        <v>2043</v>
      </c>
      <c r="B26" s="86">
        <f>'Housing Stock Profile'!$D$18</f>
        <v>1600.8907869099392</v>
      </c>
      <c r="C26" s="86">
        <f t="shared" si="5"/>
        <v>450146.98665824503</v>
      </c>
      <c r="D26" s="84">
        <f t="shared" si="0"/>
        <v>139699.5367597829</v>
      </c>
      <c r="E26" s="227">
        <f>SUM($B$3:B26)*FurnaceSaturation</f>
        <v>27909.929978987875</v>
      </c>
      <c r="F26" s="227">
        <f>SUM($B$3:B26)*DHWSaturation</f>
        <v>33212.080265233591</v>
      </c>
      <c r="G26" s="227">
        <f>SUM($B$3:B26)</f>
        <v>36820.488098928596</v>
      </c>
      <c r="H26" s="227">
        <f>SUM($B$3:B26)</f>
        <v>36820.488098928596</v>
      </c>
      <c r="I26" s="227">
        <f>SUM($B$3:B26)-E26</f>
        <v>8910.5581199407206</v>
      </c>
      <c r="J26" s="227">
        <f>SUM($B$3:B26)-F26</f>
        <v>3608.4078336950042</v>
      </c>
      <c r="K26" s="227">
        <f>SUM($B$3:B26)</f>
        <v>36820.488098928596</v>
      </c>
      <c r="L26" s="84"/>
      <c r="M26" s="84"/>
      <c r="N26" s="84"/>
      <c r="O26" s="84"/>
      <c r="P26" s="84"/>
      <c r="Q26" s="84"/>
      <c r="R26" s="84"/>
      <c r="S26" s="227">
        <f t="shared" si="6"/>
        <v>4814.7681681133372</v>
      </c>
      <c r="T26" s="227">
        <f t="shared" si="7"/>
        <v>3785.0824379854021</v>
      </c>
      <c r="U26" s="227">
        <v>0</v>
      </c>
      <c r="V26" s="227">
        <f t="shared" si="8"/>
        <v>1454.3453886645284</v>
      </c>
      <c r="W26" s="227">
        <f t="shared" si="9"/>
        <v>1364.1534265768046</v>
      </c>
      <c r="X26" s="227">
        <f t="shared" si="10"/>
        <v>359.00214363449777</v>
      </c>
      <c r="Y26" s="227">
        <v>0</v>
      </c>
      <c r="Z26" s="84">
        <f>E26+SUM(S$3:S26)</f>
        <v>249730.82069279591</v>
      </c>
      <c r="AA26" s="84">
        <f>F26+SUM(T$3:T26)</f>
        <v>368181.7575858825</v>
      </c>
      <c r="AB26" s="84">
        <f>G26+SUM(U$3:U26)</f>
        <v>36820.488098928596</v>
      </c>
      <c r="AC26" s="84">
        <f>H26+SUM(V$3:V26)</f>
        <v>123097.88928592869</v>
      </c>
      <c r="AD26" s="84">
        <f>I26+SUM(W$3:W26)</f>
        <v>89837.422799219872</v>
      </c>
      <c r="AE26" s="84">
        <f>J26+SUM(X$3:X26)</f>
        <v>40883.385399797451</v>
      </c>
      <c r="AF26" s="84">
        <f>K26+SUM(Y$3:Y26)</f>
        <v>36820.488098928596</v>
      </c>
      <c r="AG26" s="227">
        <f>L$3-SUM(S$3:S26)</f>
        <v>91480.5951941534</v>
      </c>
      <c r="AH26" s="227">
        <f>M$3-SUM(T$3:T26)</f>
        <v>37850.824379854021</v>
      </c>
      <c r="AI26" s="227">
        <f>N$3-SUM(U$3:U26)</f>
        <v>413326.49855931586</v>
      </c>
      <c r="AJ26" s="227">
        <f>O$3-SUM(V$3:V26)</f>
        <v>20360.835441303396</v>
      </c>
      <c r="AK26" s="227">
        <f>P$3-SUM(W$3:W26)</f>
        <v>19098.147972075269</v>
      </c>
      <c r="AL26" s="227">
        <f>Q$3-SUM(X$3:X26)</f>
        <v>3231.0192927104799</v>
      </c>
      <c r="AM26" s="227">
        <f>R$3-SUM(Y$3:Y26)</f>
        <v>413326.49855931586</v>
      </c>
      <c r="AN26" s="84">
        <f t="shared" si="3"/>
        <v>20618.22931065967</v>
      </c>
      <c r="AO26" s="84">
        <f t="shared" si="4"/>
        <v>4282.7149902006122</v>
      </c>
      <c r="AP26" s="85">
        <f>(GasEmissions*SUMPRODUCT(GasUEC_NEW,Z26:AB26)+'stock-flow model'!$B25*SUMPRODUCT(ElecUEC_NEW,AC26:AF26)/1000)+(GasEmissions*SUMPRODUCT(GasUECs,AG26:AI26)+'stock-flow model'!$B25*SUMPRODUCT(ElecUECs,AJ26:AM26)/1000)</f>
        <v>792553.24148152419</v>
      </c>
    </row>
    <row r="27" spans="1:42" x14ac:dyDescent="0.3">
      <c r="A27" s="92">
        <v>2044</v>
      </c>
      <c r="B27" s="86">
        <f>'Housing Stock Profile'!$D$18</f>
        <v>1600.8907869099392</v>
      </c>
      <c r="C27" s="86">
        <f t="shared" si="5"/>
        <v>451747.877445155</v>
      </c>
      <c r="D27" s="84">
        <f t="shared" si="0"/>
        <v>140196.36048172892</v>
      </c>
      <c r="E27" s="227">
        <f>SUM($B$3:B27)*FurnaceSaturation</f>
        <v>29123.405195465613</v>
      </c>
      <c r="F27" s="227">
        <f>SUM($B$3:B27)*DHWSaturation</f>
        <v>34656.08375502636</v>
      </c>
      <c r="G27" s="227">
        <f>SUM($B$3:B27)</f>
        <v>38421.378885838538</v>
      </c>
      <c r="H27" s="227">
        <f>SUM($B$3:B27)</f>
        <v>38421.378885838538</v>
      </c>
      <c r="I27" s="227">
        <f>SUM($B$3:B27)-E27</f>
        <v>9297.9736903729245</v>
      </c>
      <c r="J27" s="227">
        <f>SUM($B$3:B27)-F27</f>
        <v>3765.2951308121774</v>
      </c>
      <c r="K27" s="227">
        <f>SUM($B$3:B27)</f>
        <v>38421.378885838538</v>
      </c>
      <c r="L27" s="84"/>
      <c r="M27" s="84"/>
      <c r="N27" s="84"/>
      <c r="O27" s="84"/>
      <c r="P27" s="84"/>
      <c r="Q27" s="84"/>
      <c r="R27" s="84"/>
      <c r="S27" s="227">
        <f t="shared" si="6"/>
        <v>4574.0297597076706</v>
      </c>
      <c r="T27" s="227">
        <f t="shared" si="7"/>
        <v>3440.9840345321836</v>
      </c>
      <c r="U27" s="227">
        <v>0</v>
      </c>
      <c r="V27" s="227">
        <f t="shared" si="8"/>
        <v>1357.3890294202263</v>
      </c>
      <c r="W27" s="227">
        <f t="shared" si="9"/>
        <v>1273.2098648050178</v>
      </c>
      <c r="X27" s="227">
        <f t="shared" si="10"/>
        <v>323.10192927104799</v>
      </c>
      <c r="Y27" s="227">
        <v>0</v>
      </c>
      <c r="Z27" s="84">
        <f>E27+SUM(S$3:S27)</f>
        <v>255518.3256689813</v>
      </c>
      <c r="AA27" s="84">
        <f>F27+SUM(T$3:T27)</f>
        <v>373066.74511020741</v>
      </c>
      <c r="AB27" s="84">
        <f>G27+SUM(U$3:U27)</f>
        <v>38421.378885838538</v>
      </c>
      <c r="AC27" s="84">
        <f>H27+SUM(V$3:V27)</f>
        <v>126056.16910225886</v>
      </c>
      <c r="AD27" s="84">
        <f>I27+SUM(W$3:W27)</f>
        <v>91498.048234457092</v>
      </c>
      <c r="AE27" s="84">
        <f>J27+SUM(X$3:X27)</f>
        <v>41363.374626185672</v>
      </c>
      <c r="AF27" s="84">
        <f>K27+SUM(Y$3:Y27)</f>
        <v>38421.378885838538</v>
      </c>
      <c r="AG27" s="227">
        <f>L$3-SUM(S$3:S27)</f>
        <v>86906.565434445743</v>
      </c>
      <c r="AH27" s="227">
        <f>M$3-SUM(T$3:T27)</f>
        <v>34409.840345321863</v>
      </c>
      <c r="AI27" s="227">
        <f>N$3-SUM(U$3:U27)</f>
        <v>413326.49855931586</v>
      </c>
      <c r="AJ27" s="227">
        <f>O$3-SUM(V$3:V27)</f>
        <v>19003.446411883167</v>
      </c>
      <c r="AK27" s="227">
        <f>P$3-SUM(W$3:W27)</f>
        <v>17824.938107270253</v>
      </c>
      <c r="AL27" s="227">
        <f>Q$3-SUM(X$3:X27)</f>
        <v>2907.9173634394319</v>
      </c>
      <c r="AM27" s="227">
        <f>R$3-SUM(Y$3:Y27)</f>
        <v>413326.49855931586</v>
      </c>
      <c r="AN27" s="84">
        <f t="shared" si="3"/>
        <v>20691.555433735313</v>
      </c>
      <c r="AO27" s="84">
        <f t="shared" si="4"/>
        <v>4297.9459240377382</v>
      </c>
      <c r="AP27" s="85">
        <f>(GasEmissions*SUMPRODUCT(GasUEC_NEW,Z27:AB27)+'stock-flow model'!$B26*SUMPRODUCT(ElecUEC_NEW,AC27:AF27)/1000)+(GasEmissions*SUMPRODUCT(GasUECs,AG27:AI27)+'stock-flow model'!$B26*SUMPRODUCT(ElecUECs,AJ27:AM27)/1000)</f>
        <v>792228.89473241719</v>
      </c>
    </row>
    <row r="28" spans="1:42" x14ac:dyDescent="0.3">
      <c r="A28" s="93">
        <v>2045</v>
      </c>
      <c r="B28" s="86">
        <f>'Housing Stock Profile'!$D$18</f>
        <v>1600.8907869099392</v>
      </c>
      <c r="C28" s="86">
        <f t="shared" si="5"/>
        <v>453348.76823206496</v>
      </c>
      <c r="D28" s="84">
        <f t="shared" si="0"/>
        <v>140693.1842036749</v>
      </c>
      <c r="E28" s="227">
        <f>SUM($B$3:B28)*FurnaceSaturation</f>
        <v>30336.880411943348</v>
      </c>
      <c r="F28" s="227">
        <f>SUM($B$3:B28)*DHWSaturation</f>
        <v>36100.087244819129</v>
      </c>
      <c r="G28" s="227">
        <f>SUM($B$3:B28)</f>
        <v>40022.26967274848</v>
      </c>
      <c r="H28" s="227">
        <f>SUM($B$3:B28)</f>
        <v>40022.26967274848</v>
      </c>
      <c r="I28" s="227">
        <f>SUM($B$3:B28)-E28</f>
        <v>9685.3892608051319</v>
      </c>
      <c r="J28" s="227">
        <f>SUM($B$3:B28)-F28</f>
        <v>3922.1824279293505</v>
      </c>
      <c r="K28" s="227">
        <f>SUM($B$3:B28)</f>
        <v>40022.26967274848</v>
      </c>
      <c r="L28" s="84"/>
      <c r="M28" s="84"/>
      <c r="N28" s="84"/>
      <c r="O28" s="84"/>
      <c r="P28" s="84"/>
      <c r="Q28" s="84"/>
      <c r="R28" s="84"/>
      <c r="S28" s="227">
        <f t="shared" si="6"/>
        <v>4345.3282717222874</v>
      </c>
      <c r="T28" s="227">
        <f t="shared" si="7"/>
        <v>3128.1673041201693</v>
      </c>
      <c r="U28" s="227">
        <v>0</v>
      </c>
      <c r="V28" s="227">
        <f t="shared" si="8"/>
        <v>1266.8964274588777</v>
      </c>
      <c r="W28" s="227">
        <f t="shared" si="9"/>
        <v>1188.3292071513501</v>
      </c>
      <c r="X28" s="227">
        <f t="shared" si="10"/>
        <v>290.79173634394323</v>
      </c>
      <c r="Y28" s="227">
        <v>0</v>
      </c>
      <c r="Z28" s="84">
        <f>E28+SUM(S$3:S28)</f>
        <v>261077.12915718131</v>
      </c>
      <c r="AA28" s="84">
        <f>F28+SUM(T$3:T28)</f>
        <v>377638.91590412037</v>
      </c>
      <c r="AB28" s="84">
        <f>G28+SUM(U$3:U28)</f>
        <v>40022.26967274848</v>
      </c>
      <c r="AC28" s="84">
        <f>H28+SUM(V$3:V28)</f>
        <v>128923.95631662768</v>
      </c>
      <c r="AD28" s="84">
        <f>I28+SUM(W$3:W28)</f>
        <v>93073.793012040667</v>
      </c>
      <c r="AE28" s="84">
        <f>J28+SUM(X$3:X28)</f>
        <v>41811.053659646786</v>
      </c>
      <c r="AF28" s="84">
        <f>K28+SUM(Y$3:Y28)</f>
        <v>40022.26967274848</v>
      </c>
      <c r="AG28" s="227">
        <f>L$3-SUM(S$3:S28)</f>
        <v>82561.237162723468</v>
      </c>
      <c r="AH28" s="227">
        <f>M$3-SUM(T$3:T28)</f>
        <v>31281.67304120172</v>
      </c>
      <c r="AI28" s="227">
        <f>N$3-SUM(U$3:U28)</f>
        <v>413326.49855931586</v>
      </c>
      <c r="AJ28" s="227">
        <f>O$3-SUM(V$3:V28)</f>
        <v>17736.549984424288</v>
      </c>
      <c r="AK28" s="227">
        <f>P$3-SUM(W$3:W28)</f>
        <v>16636.608900118896</v>
      </c>
      <c r="AL28" s="227">
        <f>Q$3-SUM(X$3:X28)</f>
        <v>2617.1256270954909</v>
      </c>
      <c r="AM28" s="227">
        <f>R$3-SUM(Y$3:Y28)</f>
        <v>413326.49855931586</v>
      </c>
      <c r="AN28" s="84">
        <f t="shared" si="3"/>
        <v>20764.881556810957</v>
      </c>
      <c r="AO28" s="84">
        <f t="shared" si="4"/>
        <v>4313.1768578748643</v>
      </c>
      <c r="AP28" s="85">
        <f>(GasEmissions*SUMPRODUCT(GasUEC_NEW,Z28:AB28)+'stock-flow model'!$B27*SUMPRODUCT(ElecUEC_NEW,AC28:AF28)/1000)+(GasEmissions*SUMPRODUCT(GasUECs,AG28:AI28)+'stock-flow model'!$B27*SUMPRODUCT(ElecUECs,AJ28:AM28)/1000)</f>
        <v>792131.77835932979</v>
      </c>
    </row>
    <row r="29" spans="1:42" x14ac:dyDescent="0.3">
      <c r="C29" s="82" t="s">
        <v>126</v>
      </c>
      <c r="D29" s="82" t="s">
        <v>127</v>
      </c>
      <c r="L29" s="82" t="s">
        <v>128</v>
      </c>
      <c r="N29" s="82" t="s">
        <v>129</v>
      </c>
      <c r="O29" s="82" t="s">
        <v>130</v>
      </c>
      <c r="P29" s="82" t="s">
        <v>128</v>
      </c>
      <c r="R29" s="82" t="s">
        <v>131</v>
      </c>
      <c r="T29" s="36">
        <f>SUM(T3:T28)</f>
        <v>341538.82865930122</v>
      </c>
      <c r="AN29" s="82" t="s">
        <v>132</v>
      </c>
      <c r="AO29" s="82" t="s">
        <v>133</v>
      </c>
    </row>
  </sheetData>
  <mergeCells count="5">
    <mergeCell ref="L1:R1"/>
    <mergeCell ref="AG1:AM1"/>
    <mergeCell ref="Z1:AF1"/>
    <mergeCell ref="E1:K1"/>
    <mergeCell ref="S1:Y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3A8A-4FE9-4189-907D-382EB44E875D}">
  <sheetPr codeName="Sheet6"/>
  <dimension ref="A1:AI29"/>
  <sheetViews>
    <sheetView zoomScale="90" zoomScaleNormal="90" workbookViewId="0">
      <selection activeCell="A3" sqref="A3"/>
    </sheetView>
  </sheetViews>
  <sheetFormatPr defaultRowHeight="14.4" x14ac:dyDescent="0.3"/>
  <cols>
    <col min="3" max="3" width="8.88671875" style="82"/>
    <col min="4" max="5" width="11.6640625" style="82" customWidth="1"/>
    <col min="13" max="19" width="11.6640625" style="82" customWidth="1"/>
    <col min="20" max="23" width="9.44140625" bestFit="1" customWidth="1"/>
    <col min="24" max="24" width="8.33203125" bestFit="1" customWidth="1"/>
    <col min="25" max="25" width="8.44140625" bestFit="1" customWidth="1"/>
    <col min="26" max="26" width="9.44140625" bestFit="1" customWidth="1"/>
    <col min="27" max="27" width="12.88671875" style="74" customWidth="1"/>
    <col min="28" max="28" width="15.44140625" style="82" customWidth="1"/>
    <col min="29" max="29" width="9.44140625" bestFit="1" customWidth="1"/>
    <col min="32" max="32" width="10.77734375" customWidth="1"/>
    <col min="33" max="33" width="12.77734375" style="82" customWidth="1"/>
    <col min="34" max="34" width="11.5546875" customWidth="1"/>
    <col min="35" max="35" width="12.21875" customWidth="1"/>
  </cols>
  <sheetData>
    <row r="1" spans="1:35" x14ac:dyDescent="0.3">
      <c r="A1" s="87"/>
      <c r="B1" s="88"/>
      <c r="C1" s="88"/>
      <c r="D1" s="156"/>
      <c r="E1" s="167"/>
      <c r="F1" s="557" t="s">
        <v>591</v>
      </c>
      <c r="G1" s="556"/>
      <c r="H1" s="556"/>
      <c r="I1" s="556"/>
      <c r="J1" s="556"/>
      <c r="K1" s="556"/>
      <c r="L1" s="556"/>
      <c r="M1" s="555" t="s">
        <v>530</v>
      </c>
      <c r="N1" s="555"/>
      <c r="O1" s="555"/>
      <c r="P1" s="555"/>
      <c r="Q1" s="555"/>
      <c r="R1" s="555"/>
      <c r="S1" s="555"/>
      <c r="T1" s="556" t="s">
        <v>531</v>
      </c>
      <c r="U1" s="556"/>
      <c r="V1" s="556"/>
      <c r="W1" s="556"/>
      <c r="X1" s="556"/>
      <c r="Y1" s="556"/>
      <c r="Z1" s="556"/>
      <c r="AA1" s="239"/>
      <c r="AB1" s="156"/>
      <c r="AC1" s="230"/>
    </row>
    <row r="2" spans="1:35" ht="72" x14ac:dyDescent="0.3">
      <c r="A2" s="83" t="s">
        <v>110</v>
      </c>
      <c r="B2" s="83" t="s">
        <v>111</v>
      </c>
      <c r="C2" s="83" t="s">
        <v>520</v>
      </c>
      <c r="D2" s="83" t="s">
        <v>121</v>
      </c>
      <c r="E2" s="83" t="s">
        <v>251</v>
      </c>
      <c r="F2" s="231" t="s">
        <v>112</v>
      </c>
      <c r="G2" s="231" t="s">
        <v>113</v>
      </c>
      <c r="H2" s="231" t="s">
        <v>114</v>
      </c>
      <c r="I2" s="231" t="s">
        <v>115</v>
      </c>
      <c r="J2" s="231" t="s">
        <v>116</v>
      </c>
      <c r="K2" s="231" t="s">
        <v>117</v>
      </c>
      <c r="L2" s="231" t="s">
        <v>118</v>
      </c>
      <c r="M2" s="212" t="s">
        <v>486</v>
      </c>
      <c r="N2" s="212" t="s">
        <v>487</v>
      </c>
      <c r="O2" s="212" t="s">
        <v>488</v>
      </c>
      <c r="P2" s="212" t="s">
        <v>489</v>
      </c>
      <c r="Q2" s="212" t="s">
        <v>490</v>
      </c>
      <c r="R2" s="212" t="s">
        <v>491</v>
      </c>
      <c r="S2" s="212" t="s">
        <v>492</v>
      </c>
      <c r="T2" s="229" t="s">
        <v>493</v>
      </c>
      <c r="U2" s="229" t="s">
        <v>494</v>
      </c>
      <c r="V2" s="229" t="s">
        <v>495</v>
      </c>
      <c r="W2" s="229" t="s">
        <v>496</v>
      </c>
      <c r="X2" s="229" t="s">
        <v>497</v>
      </c>
      <c r="Y2" s="229" t="s">
        <v>498</v>
      </c>
      <c r="Z2" s="229" t="s">
        <v>499</v>
      </c>
      <c r="AA2" s="240" t="s">
        <v>119</v>
      </c>
      <c r="AB2" s="83" t="s">
        <v>120</v>
      </c>
      <c r="AC2" s="83" t="s">
        <v>122</v>
      </c>
      <c r="AD2" s="208" t="s">
        <v>500</v>
      </c>
      <c r="AE2" s="208" t="s">
        <v>501</v>
      </c>
      <c r="AF2" s="209" t="s">
        <v>476</v>
      </c>
      <c r="AG2" s="209" t="s">
        <v>620</v>
      </c>
      <c r="AH2" s="83" t="s">
        <v>619</v>
      </c>
      <c r="AI2" s="83" t="s">
        <v>618</v>
      </c>
    </row>
    <row r="3" spans="1:35" x14ac:dyDescent="0.3">
      <c r="A3" s="37">
        <v>2020</v>
      </c>
      <c r="B3" s="5"/>
      <c r="C3" s="84">
        <f>$B3*(MIN(BaseNCReachCode,ComplyNCReachCode)+(ComplyNCReachCode-MIN(BaseNCReachCode,ComplyNCReachCode))*TrueReachCode*('NC Reach Code Impacts'!$A3&gt;=StartReachCode))</f>
        <v>0</v>
      </c>
      <c r="D3" s="84">
        <f>BAU!C3-SUM($C$3:$C3)</f>
        <v>413326.49855931586</v>
      </c>
      <c r="E3" s="84">
        <f>SUM(C$3:C3)</f>
        <v>0</v>
      </c>
      <c r="F3" s="227">
        <f t="shared" ref="F3:F28" si="0">-$C3*FurnaceSaturation</f>
        <v>0</v>
      </c>
      <c r="G3" s="227">
        <f t="shared" ref="G3:G28" si="1">-$C3*DHWSaturation</f>
        <v>0</v>
      </c>
      <c r="H3" s="227">
        <f>-C3</f>
        <v>0</v>
      </c>
      <c r="I3" s="227">
        <v>0</v>
      </c>
      <c r="J3" s="227">
        <f>-F3</f>
        <v>0</v>
      </c>
      <c r="K3" s="227">
        <f>-G3</f>
        <v>0</v>
      </c>
      <c r="L3" s="227">
        <v>0</v>
      </c>
      <c r="M3" s="84">
        <f>BAU!Z3+SUM(F$3:F3)</f>
        <v>15665.074295398073</v>
      </c>
      <c r="N3" s="84">
        <f>BAU!AA3+SUM(G$3:G3)</f>
        <v>33892.772881863901</v>
      </c>
      <c r="O3" s="84">
        <f>BAU!AB3+SUM(H$3:H3)</f>
        <v>0</v>
      </c>
      <c r="P3" s="84">
        <f>BAU!AC3+SUM(I$3:I3)</f>
        <v>7109.2157752202329</v>
      </c>
      <c r="Q3" s="84">
        <f>BAU!AD3+SUM(J$3:J3)</f>
        <v>6668.3341767569618</v>
      </c>
      <c r="R3" s="84">
        <f>BAU!AE3+SUM(K$3:K3)</f>
        <v>4050.5996858812928</v>
      </c>
      <c r="S3" s="84">
        <f>BAU!AF3+SUM(L$3:L3)</f>
        <v>0</v>
      </c>
      <c r="T3" s="227">
        <f>BAU!AG3</f>
        <v>297636.41161256336</v>
      </c>
      <c r="U3" s="227">
        <f>BAU!AH3</f>
        <v>338927.72881863907</v>
      </c>
      <c r="V3" s="227">
        <f>BAU!AI3</f>
        <v>413326.49855931586</v>
      </c>
      <c r="W3" s="227">
        <f>BAU!AJ3</f>
        <v>99529.020853083261</v>
      </c>
      <c r="X3" s="227">
        <f>BAU!AK3</f>
        <v>93356.678474597458</v>
      </c>
      <c r="Y3" s="227">
        <f>BAU!AL3</f>
        <v>36455.397172931633</v>
      </c>
      <c r="Z3" s="227">
        <f>BAU!AM3</f>
        <v>413326.49855931586</v>
      </c>
      <c r="AA3" s="241">
        <f>(GasEmissions*SUMPRODUCT(GasUEC_NEW,$F3:$H3)+'stock-flow model'!$B2*SUMPRODUCT(ElecUEC_NEW,$I3:$L3)/1000)</f>
        <v>0</v>
      </c>
      <c r="AB3" s="85">
        <f>(GasEmissions*('Appliance Stock Profile'!$B$21*SUM(F$3:F3)+'Appliance Stock Profile'!$C$21*SUM(G$3:G3)+'Appliance Stock Profile'!$D$21*SUM(H$3:H3))+'stock-flow model'!$B2*('Appliance Stock Profile'!$F$21*SUM(J$3:J3)+'Appliance Stock Profile'!$G$21*SUM(K$3:K3))/1000)</f>
        <v>0</v>
      </c>
      <c r="AC3" s="85">
        <f>(GasEmissions*SUMPRODUCT(GasUEC_NEW,M3:O3)+'stock-flow model'!$B2*SUMPRODUCT(ElecUEC_NEW,P3:S3)/1000)+(GasEmissions*SUMPRODUCT(GasUECs,T3:V3)+'stock-flow model'!$B2*SUMPRODUCT(ElecUECs,W3:Z3)/1000)</f>
        <v>1096122.7763067521</v>
      </c>
      <c r="AD3" s="207">
        <f>T3+Y3-W3</f>
        <v>234562.78793241174</v>
      </c>
      <c r="AE3" s="207">
        <f>W3-Y3</f>
        <v>63073.623680151628</v>
      </c>
      <c r="AF3" s="36">
        <f>W3</f>
        <v>99529.020853083261</v>
      </c>
      <c r="AG3" s="36">
        <v>0</v>
      </c>
      <c r="AH3" s="36">
        <f>AG3</f>
        <v>0</v>
      </c>
      <c r="AI3" s="36">
        <f>AB3-AH3</f>
        <v>0</v>
      </c>
    </row>
    <row r="4" spans="1:35" x14ac:dyDescent="0.3">
      <c r="A4" s="37">
        <v>2021</v>
      </c>
      <c r="B4" s="86">
        <f>BAU!B4</f>
        <v>1600.8907869099392</v>
      </c>
      <c r="C4" s="84">
        <f>$B4*(MIN(BaseNCReachCode,ComplyNCReachCode)+(ComplyNCReachCode-MIN(BaseNCReachCode,ComplyNCReachCode))*TrueReachCode*('NC Reach Code Impacts'!$A4&gt;=StartReachCode))</f>
        <v>1600.8907869099392</v>
      </c>
      <c r="D4" s="84">
        <f>BAU!C4-SUM($C$3:$C4)</f>
        <v>413326.49855931586</v>
      </c>
      <c r="E4" s="84">
        <f>SUM(C$3:C4)</f>
        <v>1600.8907869099392</v>
      </c>
      <c r="F4" s="227">
        <f t="shared" si="0"/>
        <v>-1213.475216477734</v>
      </c>
      <c r="G4" s="227">
        <f t="shared" si="1"/>
        <v>-1444.0034897927651</v>
      </c>
      <c r="H4" s="227">
        <f t="shared" ref="H4:H28" si="2">-C4</f>
        <v>-1600.8907869099392</v>
      </c>
      <c r="I4" s="227">
        <v>0</v>
      </c>
      <c r="J4" s="227">
        <f t="shared" ref="J4:J28" si="3">-F4</f>
        <v>1213.475216477734</v>
      </c>
      <c r="K4" s="227">
        <f t="shared" ref="K4:K28" si="4">-G4</f>
        <v>1444.0034897927651</v>
      </c>
      <c r="L4" s="227">
        <v>0</v>
      </c>
      <c r="M4" s="84">
        <f>BAU!Z4+SUM(F$3:F4)</f>
        <v>30546.894876026243</v>
      </c>
      <c r="N4" s="84">
        <f>BAU!AA4+SUM(G$3:G4)</f>
        <v>64704.384592649272</v>
      </c>
      <c r="O4" s="84">
        <f>BAU!AB4+SUM(H$3:H4)</f>
        <v>0</v>
      </c>
      <c r="P4" s="84">
        <f>BAU!AC4+SUM(I$3:I4)</f>
        <v>15345.374619002388</v>
      </c>
      <c r="Q4" s="84">
        <f>BAU!AD4+SUM(J$3:J4)</f>
        <v>14493.003528640065</v>
      </c>
      <c r="R4" s="84">
        <f>BAU!AE4+SUM(K$3:K4)</f>
        <v>9297.0301900843951</v>
      </c>
      <c r="S4" s="84">
        <f>BAU!AF4+SUM(L$3:L4)</f>
        <v>1600.8907869099392</v>
      </c>
      <c r="T4" s="227">
        <f>BAU!AG4</f>
        <v>282754.59103193518</v>
      </c>
      <c r="U4" s="227">
        <f>BAU!AH4</f>
        <v>308116.11710785364</v>
      </c>
      <c r="V4" s="227">
        <f>BAU!AI4</f>
        <v>413326.49855931586</v>
      </c>
      <c r="W4" s="227">
        <f>BAU!AJ4</f>
        <v>92893.752796211047</v>
      </c>
      <c r="X4" s="227">
        <f>BAU!AK4</f>
        <v>87132.899909624306</v>
      </c>
      <c r="Y4" s="227">
        <f>BAU!AL4</f>
        <v>32809.85745563847</v>
      </c>
      <c r="Z4" s="227">
        <f>BAU!AM4</f>
        <v>413326.49855931586</v>
      </c>
      <c r="AA4" s="241">
        <f>(GasEmissions*SUMPRODUCT(GasUEC_NEW,$F4:$H4)+'stock-flow model'!$B3*SUMPRODUCT(ElecUEC_NEW,$I4:$L4)/1000)</f>
        <v>-2537.5701161034253</v>
      </c>
      <c r="AB4" s="85">
        <f>(GasEmissions*('Appliance Stock Profile'!$B$21*SUM(F$3:F4)+'Appliance Stock Profile'!$C$21*SUM(G$3:G4)+'Appliance Stock Profile'!$D$21*SUM(H$3:H4))+'stock-flow model'!$B3*('Appliance Stock Profile'!$F$21*SUM(J$3:J4)+'Appliance Stock Profile'!$G$21*SUM(K$3:K4))/1000)</f>
        <v>-2537.5701161034253</v>
      </c>
      <c r="AC4" s="85">
        <f>(GasEmissions*SUMPRODUCT(GasUEC_NEW,M4:O4)+'stock-flow model'!$B3*SUMPRODUCT(ElecUEC_NEW,P4:S4)/1000)+(GasEmissions*SUMPRODUCT(GasUECs,T4:V4)+'stock-flow model'!$B3*SUMPRODUCT(ElecUECs,W4:Z4)/1000)</f>
        <v>1060934.5405731951</v>
      </c>
      <c r="AD4" s="207">
        <f t="shared" ref="AD4:AD28" si="5">T4+Y4-W4</f>
        <v>222670.69569136261</v>
      </c>
      <c r="AE4" s="207">
        <f t="shared" ref="AE4:AE28" si="6">W4-Y4</f>
        <v>60083.895340572577</v>
      </c>
      <c r="AF4" s="36">
        <f t="shared" ref="AF4:AF28" si="7">W4</f>
        <v>92893.752796211047</v>
      </c>
      <c r="AG4" s="36">
        <f t="shared" ref="AG4:AG28" si="8">IFERROR(IF(A4&gt;=StartReachCode,(ComplyNCReachCode-MIN(ComplyNCReachCode,BaseNCReachCode))*(AB4-AB3)/ComplyNCReachCode,0),0)*TrueReachCode</f>
        <v>-2537.5701161034253</v>
      </c>
      <c r="AH4" s="36">
        <f>AH3+AG4</f>
        <v>-2537.5701161034253</v>
      </c>
      <c r="AI4" s="36">
        <f t="shared" ref="AI4:AI28" si="9">AB4-AH4</f>
        <v>0</v>
      </c>
    </row>
    <row r="5" spans="1:35" x14ac:dyDescent="0.3">
      <c r="A5" s="37">
        <v>2022</v>
      </c>
      <c r="B5" s="86">
        <f>BAU!B5</f>
        <v>1600.8907869099392</v>
      </c>
      <c r="C5" s="84">
        <f>$B5*(MIN(BaseNCReachCode,ComplyNCReachCode)+(ComplyNCReachCode-MIN(BaseNCReachCode,ComplyNCReachCode))*TrueReachCode*('NC Reach Code Impacts'!$A5&gt;=StartReachCode))</f>
        <v>1600.8907869099392</v>
      </c>
      <c r="D5" s="84">
        <f>BAU!C5-SUM($C$3:$C5)</f>
        <v>413326.49855931592</v>
      </c>
      <c r="E5" s="84">
        <f>SUM(C$3:C5)</f>
        <v>3201.7815738198783</v>
      </c>
      <c r="F5" s="227">
        <f t="shared" si="0"/>
        <v>-1213.475216477734</v>
      </c>
      <c r="G5" s="227">
        <f t="shared" si="1"/>
        <v>-1444.0034897927651</v>
      </c>
      <c r="H5" s="227">
        <f t="shared" si="2"/>
        <v>-1600.8907869099392</v>
      </c>
      <c r="I5" s="227">
        <v>0</v>
      </c>
      <c r="J5" s="227">
        <f t="shared" si="3"/>
        <v>1213.475216477734</v>
      </c>
      <c r="K5" s="227">
        <f t="shared" si="4"/>
        <v>1444.0034897927651</v>
      </c>
      <c r="L5" s="227">
        <v>0</v>
      </c>
      <c r="M5" s="84">
        <f>BAU!Z5+SUM(F$3:F5)</f>
        <v>44684.624427622999</v>
      </c>
      <c r="N5" s="84">
        <f>BAU!AA5+SUM(G$3:G5)</f>
        <v>92714.940693363242</v>
      </c>
      <c r="O5" s="84">
        <f>BAU!AB5+SUM(H$3:H5)</f>
        <v>0</v>
      </c>
      <c r="P5" s="84">
        <f>BAU!AC5+SUM(I$3:I5)</f>
        <v>23139.182258993063</v>
      </c>
      <c r="Q5" s="84">
        <f>BAU!AD5+SUM(J$3:J5)</f>
        <v>21902.75430952496</v>
      </c>
      <c r="R5" s="84">
        <f>BAU!AE5+SUM(K$3:K5)</f>
        <v>14178.906722558182</v>
      </c>
      <c r="S5" s="84">
        <f>BAU!AF5+SUM(L$3:L5)</f>
        <v>3201.7815738198783</v>
      </c>
      <c r="T5" s="227">
        <f>BAU!AG5</f>
        <v>268616.86148033844</v>
      </c>
      <c r="U5" s="227">
        <f>BAU!AH5</f>
        <v>280105.56100713968</v>
      </c>
      <c r="V5" s="227">
        <f>BAU!AI5</f>
        <v>413326.49855931586</v>
      </c>
      <c r="W5" s="227">
        <f>BAU!AJ5</f>
        <v>86700.835943130311</v>
      </c>
      <c r="X5" s="227">
        <f>BAU!AK5</f>
        <v>81324.039915649337</v>
      </c>
      <c r="Y5" s="227">
        <f>BAU!AL5</f>
        <v>29528.871710074622</v>
      </c>
      <c r="Z5" s="227">
        <f>BAU!AM5</f>
        <v>413326.49855931586</v>
      </c>
      <c r="AA5" s="241">
        <f>(GasEmissions*SUMPRODUCT(GasUEC_NEW,$F5:$H5)+'stock-flow model'!$B4*SUMPRODUCT(ElecUEC_NEW,$I5:$L5)/1000)</f>
        <v>-2551.9123944645698</v>
      </c>
      <c r="AB5" s="85">
        <f>(GasEmissions*('Appliance Stock Profile'!$B$21*SUM(F$3:F5)+'Appliance Stock Profile'!$C$21*SUM(G$3:G5)+'Appliance Stock Profile'!$D$21*SUM(H$3:H5))+'stock-flow model'!$B4*('Appliance Stock Profile'!$F$21*SUM(J$3:J5)+'Appliance Stock Profile'!$G$21*SUM(K$3:K5))/1000)</f>
        <v>-5103.8247889291397</v>
      </c>
      <c r="AC5" s="85">
        <f>(GasEmissions*SUMPRODUCT(GasUEC_NEW,M5:O5)+'stock-flow model'!$B4*SUMPRODUCT(ElecUEC_NEW,P5:S5)/1000)+(GasEmissions*SUMPRODUCT(GasUECs,T5:V5)+'stock-flow model'!$B4*SUMPRODUCT(ElecUECs,W5:Z5)/1000)</f>
        <v>1027420.9863659078</v>
      </c>
      <c r="AD5" s="207">
        <f t="shared" si="5"/>
        <v>211444.89724728273</v>
      </c>
      <c r="AE5" s="207">
        <f t="shared" si="6"/>
        <v>57171.964233055689</v>
      </c>
      <c r="AF5" s="36">
        <f t="shared" si="7"/>
        <v>86700.835943130311</v>
      </c>
      <c r="AG5" s="36">
        <f t="shared" si="8"/>
        <v>-2566.2546728257144</v>
      </c>
      <c r="AH5" s="36">
        <f t="shared" ref="AH5:AH28" si="10">AH4+AG5</f>
        <v>-5103.8247889291397</v>
      </c>
      <c r="AI5" s="36">
        <f t="shared" si="9"/>
        <v>0</v>
      </c>
    </row>
    <row r="6" spans="1:35" x14ac:dyDescent="0.3">
      <c r="A6" s="37">
        <v>2023</v>
      </c>
      <c r="B6" s="86">
        <f>BAU!B6</f>
        <v>1600.8907869099392</v>
      </c>
      <c r="C6" s="84">
        <f>$B6*(MIN(BaseNCReachCode,ComplyNCReachCode)+(ComplyNCReachCode-MIN(BaseNCReachCode,ComplyNCReachCode))*TrueReachCode*('NC Reach Code Impacts'!$A6&gt;=StartReachCode))</f>
        <v>1600.8907869099392</v>
      </c>
      <c r="D6" s="84">
        <f>BAU!C6-SUM($C$3:$C6)</f>
        <v>413326.49855931592</v>
      </c>
      <c r="E6" s="84">
        <f>SUM(C$3:C6)</f>
        <v>4802.6723607298172</v>
      </c>
      <c r="F6" s="227">
        <f t="shared" si="0"/>
        <v>-1213.475216477734</v>
      </c>
      <c r="G6" s="227">
        <f t="shared" si="1"/>
        <v>-1444.0034897927651</v>
      </c>
      <c r="H6" s="227">
        <f t="shared" si="2"/>
        <v>-1600.8907869099392</v>
      </c>
      <c r="I6" s="227">
        <v>0</v>
      </c>
      <c r="J6" s="227">
        <f t="shared" si="3"/>
        <v>1213.475216477734</v>
      </c>
      <c r="K6" s="227">
        <f t="shared" si="4"/>
        <v>1444.0034897927651</v>
      </c>
      <c r="L6" s="227">
        <v>0</v>
      </c>
      <c r="M6" s="84">
        <f>BAU!Z6+SUM(F$3:F6)</f>
        <v>58115.46750163992</v>
      </c>
      <c r="N6" s="84">
        <f>BAU!AA6+SUM(G$3:G6)</f>
        <v>118179.08260310322</v>
      </c>
      <c r="O6" s="84">
        <f>BAU!AB6+SUM(H$3:H6)</f>
        <v>0</v>
      </c>
      <c r="P6" s="84">
        <f>BAU!AC6+SUM(I$3:I6)</f>
        <v>30520.128775445024</v>
      </c>
      <c r="Q6" s="84">
        <f>BAU!AD6+SUM(J$3:J6)</f>
        <v>28925.247757478188</v>
      </c>
      <c r="R6" s="84">
        <f>BAU!AE6+SUM(K$3:K6)</f>
        <v>18732.684680475584</v>
      </c>
      <c r="S6" s="84">
        <f>BAU!AF6+SUM(L$3:L6)</f>
        <v>4802.6723607298172</v>
      </c>
      <c r="T6" s="227">
        <f>BAU!AG6</f>
        <v>255186.01840632153</v>
      </c>
      <c r="U6" s="227">
        <f>BAU!AH6</f>
        <v>254641.41909739972</v>
      </c>
      <c r="V6" s="227">
        <f>BAU!AI6</f>
        <v>413326.49855931586</v>
      </c>
      <c r="W6" s="227">
        <f>BAU!AJ6</f>
        <v>80920.780213588296</v>
      </c>
      <c r="X6" s="227">
        <f>BAU!AK6</f>
        <v>75902.437254606048</v>
      </c>
      <c r="Y6" s="227">
        <f>BAU!AL6</f>
        <v>26575.984539067162</v>
      </c>
      <c r="Z6" s="227">
        <f>BAU!AM6</f>
        <v>413326.49855931586</v>
      </c>
      <c r="AA6" s="241">
        <f>(GasEmissions*SUMPRODUCT(GasUEC_NEW,$F6:$H6)+'stock-flow model'!$B5*SUMPRODUCT(ElecUEC_NEW,$I6:$L6)/1000)</f>
        <v>-2566.2546728257144</v>
      </c>
      <c r="AB6" s="85">
        <f>(GasEmissions*('Appliance Stock Profile'!$B$21*SUM(F$3:F6)+'Appliance Stock Profile'!$C$21*SUM(G$3:G6)+'Appliance Stock Profile'!$D$21*SUM(H$3:H6))+'stock-flow model'!$B5*('Appliance Stock Profile'!$F$21*SUM(J$3:J6)+'Appliance Stock Profile'!$G$21*SUM(K$3:K6))/1000)</f>
        <v>-7698.7640184771417</v>
      </c>
      <c r="AC6" s="85">
        <f>(GasEmissions*SUMPRODUCT(GasUEC_NEW,M6:O6)+'stock-flow model'!$B5*SUMPRODUCT(ElecUEC_NEW,P6:S6)/1000)+(GasEmissions*SUMPRODUCT(GasUECs,T6:V6)+'stock-flow model'!$B5*SUMPRODUCT(ElecUECs,W6:Z6)/1000)</f>
        <v>995422.61350942298</v>
      </c>
      <c r="AD6" s="207">
        <f t="shared" si="5"/>
        <v>200841.22273180037</v>
      </c>
      <c r="AE6" s="207">
        <f t="shared" si="6"/>
        <v>54344.795674521134</v>
      </c>
      <c r="AF6" s="36">
        <f t="shared" si="7"/>
        <v>80920.780213588296</v>
      </c>
      <c r="AG6" s="36">
        <f t="shared" si="8"/>
        <v>-2594.939229548002</v>
      </c>
      <c r="AH6" s="36">
        <f t="shared" si="10"/>
        <v>-7698.7640184771417</v>
      </c>
      <c r="AI6" s="36">
        <f t="shared" si="9"/>
        <v>0</v>
      </c>
    </row>
    <row r="7" spans="1:35" x14ac:dyDescent="0.3">
      <c r="A7" s="37">
        <v>2024</v>
      </c>
      <c r="B7" s="86">
        <f>BAU!B7</f>
        <v>1600.8907869099392</v>
      </c>
      <c r="C7" s="84">
        <f>$B7*(MIN(BaseNCReachCode,ComplyNCReachCode)+(ComplyNCReachCode-MIN(BaseNCReachCode,ComplyNCReachCode))*TrueReachCode*('NC Reach Code Impacts'!$A7&gt;=StartReachCode))</f>
        <v>1600.8907869099392</v>
      </c>
      <c r="D7" s="84">
        <f>BAU!C7-SUM($C$3:$C7)</f>
        <v>413326.49855931598</v>
      </c>
      <c r="E7" s="84">
        <f>SUM(C$3:C7)</f>
        <v>6403.5631476397566</v>
      </c>
      <c r="F7" s="227">
        <f t="shared" si="0"/>
        <v>-1213.475216477734</v>
      </c>
      <c r="G7" s="227">
        <f t="shared" si="1"/>
        <v>-1444.0034897927651</v>
      </c>
      <c r="H7" s="227">
        <f t="shared" si="2"/>
        <v>-1600.8907869099392</v>
      </c>
      <c r="I7" s="227">
        <v>0</v>
      </c>
      <c r="J7" s="227">
        <f t="shared" si="3"/>
        <v>1213.475216477734</v>
      </c>
      <c r="K7" s="227">
        <f t="shared" si="4"/>
        <v>1444.0034897927651</v>
      </c>
      <c r="L7" s="227">
        <v>0</v>
      </c>
      <c r="M7" s="84">
        <f>BAU!Z7+SUM(F$3:F7)</f>
        <v>70874.768421955989</v>
      </c>
      <c r="N7" s="84">
        <f>BAU!AA7+SUM(G$3:G7)</f>
        <v>141328.30252104864</v>
      </c>
      <c r="O7" s="84">
        <f>BAU!AB7+SUM(H$3:H7)</f>
        <v>0</v>
      </c>
      <c r="P7" s="84">
        <f>BAU!AC7+SUM(I$3:I7)</f>
        <v>37515.73824326085</v>
      </c>
      <c r="Q7" s="84">
        <f>BAU!AD7+SUM(J$3:J7)</f>
        <v>35586.301028028531</v>
      </c>
      <c r="R7" s="84">
        <f>BAU!AE7+SUM(K$3:K7)</f>
        <v>22991.17392129224</v>
      </c>
      <c r="S7" s="84">
        <f>BAU!AF7+SUM(L$3:L7)</f>
        <v>6403.5631476397566</v>
      </c>
      <c r="T7" s="227">
        <f>BAU!AG7</f>
        <v>242426.71748600545</v>
      </c>
      <c r="U7" s="227">
        <f>BAU!AH7</f>
        <v>231492.1991794543</v>
      </c>
      <c r="V7" s="227">
        <f>BAU!AI7</f>
        <v>413326.49855931586</v>
      </c>
      <c r="W7" s="227">
        <f>BAU!AJ7</f>
        <v>75526.061532682405</v>
      </c>
      <c r="X7" s="227">
        <f>BAU!AK7</f>
        <v>70842.274770965654</v>
      </c>
      <c r="Y7" s="227">
        <f>BAU!AL7</f>
        <v>23918.386085160444</v>
      </c>
      <c r="Z7" s="227">
        <f>BAU!AM7</f>
        <v>413326.49855931586</v>
      </c>
      <c r="AA7" s="241">
        <f>(GasEmissions*SUMPRODUCT(GasUEC_NEW,$F7:$H7)+'stock-flow model'!$B6*SUMPRODUCT(ElecUEC_NEW,$I7:$L7)/1000)</f>
        <v>-2580.5969511868584</v>
      </c>
      <c r="AB7" s="85">
        <f>(GasEmissions*('Appliance Stock Profile'!$B$21*SUM(F$3:F7)+'Appliance Stock Profile'!$C$21*SUM(G$3:G7)+'Appliance Stock Profile'!$D$21*SUM(H$3:H7))+'stock-flow model'!$B6*('Appliance Stock Profile'!$F$21*SUM(J$3:J7)+'Appliance Stock Profile'!$G$21*SUM(K$3:K7))/1000)</f>
        <v>-10322.387804747434</v>
      </c>
      <c r="AC7" s="85">
        <f>(GasEmissions*SUMPRODUCT(GasUEC_NEW,M7:O7)+'stock-flow model'!$B6*SUMPRODUCT(ElecUEC_NEW,P7:S7)/1000)+(GasEmissions*SUMPRODUCT(GasUECs,T7:V7)+'stock-flow model'!$B6*SUMPRODUCT(ElecUECs,W7:Z7)/1000)</f>
        <v>964794.15356677712</v>
      </c>
      <c r="AD7" s="207">
        <f t="shared" si="5"/>
        <v>190819.04203848349</v>
      </c>
      <c r="AE7" s="207">
        <f t="shared" si="6"/>
        <v>51607.675447521964</v>
      </c>
      <c r="AF7" s="36">
        <f t="shared" si="7"/>
        <v>75526.061532682405</v>
      </c>
      <c r="AG7" s="36">
        <f t="shared" si="8"/>
        <v>-2623.6237862702919</v>
      </c>
      <c r="AH7" s="36">
        <f t="shared" si="10"/>
        <v>-10322.387804747434</v>
      </c>
      <c r="AI7" s="36">
        <f t="shared" si="9"/>
        <v>0</v>
      </c>
    </row>
    <row r="8" spans="1:35" x14ac:dyDescent="0.3">
      <c r="A8" s="37">
        <v>2025</v>
      </c>
      <c r="B8" s="86">
        <f>BAU!B8</f>
        <v>1600.8907869099392</v>
      </c>
      <c r="C8" s="84">
        <f>$B8*(MIN(BaseNCReachCode,ComplyNCReachCode)+(ComplyNCReachCode-MIN(BaseNCReachCode,ComplyNCReachCode))*TrueReachCode*('NC Reach Code Impacts'!$A8&gt;=StartReachCode))</f>
        <v>1600.8907869099392</v>
      </c>
      <c r="D8" s="84">
        <f>BAU!C8-SUM($C$3:$C8)</f>
        <v>413326.49855931598</v>
      </c>
      <c r="E8" s="84">
        <f>SUM(C$3:C8)</f>
        <v>8004.453934549696</v>
      </c>
      <c r="F8" s="227">
        <f t="shared" si="0"/>
        <v>-1213.475216477734</v>
      </c>
      <c r="G8" s="227">
        <f t="shared" si="1"/>
        <v>-1444.0034897927651</v>
      </c>
      <c r="H8" s="227">
        <f t="shared" si="2"/>
        <v>-1600.8907869099392</v>
      </c>
      <c r="I8" s="227">
        <v>0</v>
      </c>
      <c r="J8" s="227">
        <f t="shared" si="3"/>
        <v>1213.475216477734</v>
      </c>
      <c r="K8" s="227">
        <f t="shared" si="4"/>
        <v>1444.0034897927651</v>
      </c>
      <c r="L8" s="227">
        <v>0</v>
      </c>
      <c r="M8" s="84">
        <f>BAU!Z8+SUM(F$3:F8)</f>
        <v>82996.104296256264</v>
      </c>
      <c r="N8" s="84">
        <f>BAU!AA8+SUM(G$3:G8)</f>
        <v>162373.04790099902</v>
      </c>
      <c r="O8" s="84">
        <f>BAU!AB8+SUM(H$3:H8)</f>
        <v>0</v>
      </c>
      <c r="P8" s="84">
        <f>BAU!AC8+SUM(I$3:I8)</f>
        <v>44151.699799016285</v>
      </c>
      <c r="Q8" s="84">
        <f>BAU!AD8+SUM(J$3:J8)</f>
        <v>41910.010133002848</v>
      </c>
      <c r="R8" s="84">
        <f>BAU!AE8+SUM(K$3:K8)</f>
        <v>26983.903316718224</v>
      </c>
      <c r="S8" s="84">
        <f>BAU!AF8+SUM(L$3:L8)</f>
        <v>8004.453934549696</v>
      </c>
      <c r="T8" s="227">
        <f>BAU!AG8</f>
        <v>230305.38161170518</v>
      </c>
      <c r="U8" s="227">
        <f>BAU!AH8</f>
        <v>210447.45379950391</v>
      </c>
      <c r="V8" s="227">
        <f>BAU!AI8</f>
        <v>413326.49855931586</v>
      </c>
      <c r="W8" s="227">
        <f>BAU!AJ8</f>
        <v>70490.990763836904</v>
      </c>
      <c r="X8" s="227">
        <f>BAU!AK8</f>
        <v>66119.456452901271</v>
      </c>
      <c r="Y8" s="227">
        <f>BAU!AL8</f>
        <v>21526.547476644399</v>
      </c>
      <c r="Z8" s="227">
        <f>BAU!AM8</f>
        <v>413326.49855931586</v>
      </c>
      <c r="AA8" s="241">
        <f>(GasEmissions*SUMPRODUCT(GasUEC_NEW,$F8:$H8)+'stock-flow model'!$B7*SUMPRODUCT(ElecUEC_NEW,$I8:$L8)/1000)</f>
        <v>-2594.9392295480029</v>
      </c>
      <c r="AB8" s="85">
        <f>(GasEmissions*('Appliance Stock Profile'!$B$21*SUM(F$3:F8)+'Appliance Stock Profile'!$C$21*SUM(G$3:G8)+'Appliance Stock Profile'!$D$21*SUM(H$3:H8))+'stock-flow model'!$B7*('Appliance Stock Profile'!$F$21*SUM(J$3:J8)+'Appliance Stock Profile'!$G$21*SUM(K$3:K8))/1000)</f>
        <v>-12974.696147740015</v>
      </c>
      <c r="AC8" s="85">
        <f>(GasEmissions*SUMPRODUCT(GasUEC_NEW,M8:O8)+'stock-flow model'!$B7*SUMPRODUCT(ElecUEC_NEW,P8:S8)/1000)+(GasEmissions*SUMPRODUCT(GasUECs,T8:V8)+'stock-flow model'!$B7*SUMPRODUCT(ElecUECs,W8:Z8)/1000)</f>
        <v>935403.28519344062</v>
      </c>
      <c r="AD8" s="207">
        <f t="shared" si="5"/>
        <v>181340.93832451268</v>
      </c>
      <c r="AE8" s="207">
        <f t="shared" si="6"/>
        <v>48964.443287192509</v>
      </c>
      <c r="AF8" s="36">
        <f t="shared" si="7"/>
        <v>70490.990763836904</v>
      </c>
      <c r="AG8" s="36">
        <f t="shared" si="8"/>
        <v>-2652.3083429925809</v>
      </c>
      <c r="AH8" s="36">
        <f t="shared" si="10"/>
        <v>-12974.696147740015</v>
      </c>
      <c r="AI8" s="36">
        <f t="shared" si="9"/>
        <v>0</v>
      </c>
    </row>
    <row r="9" spans="1:35" x14ac:dyDescent="0.3">
      <c r="A9" s="37">
        <v>2026</v>
      </c>
      <c r="B9" s="86">
        <f>BAU!B9</f>
        <v>1600.8907869099392</v>
      </c>
      <c r="C9" s="84">
        <f>$B9*(MIN(BaseNCReachCode,ComplyNCReachCode)+(ComplyNCReachCode-MIN(BaseNCReachCode,ComplyNCReachCode))*TrueReachCode*('NC Reach Code Impacts'!$A9&gt;=StartReachCode))</f>
        <v>1600.8907869099392</v>
      </c>
      <c r="D9" s="84">
        <f>BAU!C9-SUM($C$3:$C9)</f>
        <v>413326.49855931604</v>
      </c>
      <c r="E9" s="84">
        <f>SUM(C$3:C9)</f>
        <v>9605.3447214596345</v>
      </c>
      <c r="F9" s="227">
        <f t="shared" si="0"/>
        <v>-1213.475216477734</v>
      </c>
      <c r="G9" s="227">
        <f t="shared" si="1"/>
        <v>-1444.0034897927651</v>
      </c>
      <c r="H9" s="227">
        <f t="shared" si="2"/>
        <v>-1600.8907869099392</v>
      </c>
      <c r="I9" s="227">
        <v>0</v>
      </c>
      <c r="J9" s="227">
        <f t="shared" si="3"/>
        <v>1213.475216477734</v>
      </c>
      <c r="K9" s="227">
        <f t="shared" si="4"/>
        <v>1444.0034897927651</v>
      </c>
      <c r="L9" s="227">
        <v>0</v>
      </c>
      <c r="M9" s="84">
        <f>BAU!Z9+SUM(F$3:F9)</f>
        <v>94511.373376841526</v>
      </c>
      <c r="N9" s="84">
        <f>BAU!AA9+SUM(G$3:G9)</f>
        <v>181504.63461004483</v>
      </c>
      <c r="O9" s="84">
        <f>BAU!AB9+SUM(H$3:H9)</f>
        <v>0</v>
      </c>
      <c r="P9" s="84">
        <f>BAU!AC9+SUM(I$3:I9)</f>
        <v>50451.989970182025</v>
      </c>
      <c r="Q9" s="84">
        <f>BAU!AD9+SUM(J$3:J9)</f>
        <v>47918.864683439533</v>
      </c>
      <c r="R9" s="84">
        <f>BAU!AE9+SUM(K$3:K9)</f>
        <v>30737.448851292604</v>
      </c>
      <c r="S9" s="84">
        <f>BAU!AF9+SUM(L$3:L9)</f>
        <v>9605.3447214596345</v>
      </c>
      <c r="T9" s="227">
        <f>BAU!AG9</f>
        <v>218790.1125311199</v>
      </c>
      <c r="U9" s="227">
        <f>BAU!AH9</f>
        <v>191315.86709045811</v>
      </c>
      <c r="V9" s="227">
        <f>BAU!AI9</f>
        <v>413326.49855931586</v>
      </c>
      <c r="W9" s="227">
        <f>BAU!AJ9</f>
        <v>65791.591379581107</v>
      </c>
      <c r="X9" s="227">
        <f>BAU!AK9</f>
        <v>61711.492689374521</v>
      </c>
      <c r="Y9" s="227">
        <f>BAU!AL9</f>
        <v>19373.892728979958</v>
      </c>
      <c r="Z9" s="227">
        <f>BAU!AM9</f>
        <v>413326.49855931586</v>
      </c>
      <c r="AA9" s="241">
        <f>(GasEmissions*SUMPRODUCT(GasUEC_NEW,$F9:$H9)+'stock-flow model'!$B8*SUMPRODUCT(ElecUEC_NEW,$I9:$L9)/1000)</f>
        <v>-2609.2815079091474</v>
      </c>
      <c r="AB9" s="85">
        <f>(GasEmissions*('Appliance Stock Profile'!$B$21*SUM(F$3:F9)+'Appliance Stock Profile'!$C$21*SUM(G$3:G9)+'Appliance Stock Profile'!$D$21*SUM(H$3:H9))+'stock-flow model'!$B8*('Appliance Stock Profile'!$F$21*SUM(J$3:J9)+'Appliance Stock Profile'!$G$21*SUM(K$3:K9))/1000)</f>
        <v>-15655.689047454882</v>
      </c>
      <c r="AC9" s="85">
        <f>(GasEmissions*SUMPRODUCT(GasUEC_NEW,M9:O9)+'stock-flow model'!$B8*SUMPRODUCT(ElecUEC_NEW,P9:S9)/1000)+(GasEmissions*SUMPRODUCT(GasUECs,T9:V9)+'stock-flow model'!$B8*SUMPRODUCT(ElecUECs,W9:Z9)/1000)</f>
        <v>907129.46635614522</v>
      </c>
      <c r="AD9" s="207">
        <f t="shared" si="5"/>
        <v>172372.41388051875</v>
      </c>
      <c r="AE9" s="207">
        <f t="shared" si="6"/>
        <v>46417.698650601145</v>
      </c>
      <c r="AF9" s="36">
        <f t="shared" si="7"/>
        <v>65791.591379581107</v>
      </c>
      <c r="AG9" s="36">
        <f t="shared" si="8"/>
        <v>-2680.9928997148672</v>
      </c>
      <c r="AH9" s="36">
        <f t="shared" si="10"/>
        <v>-15655.689047454882</v>
      </c>
      <c r="AI9" s="36">
        <f t="shared" si="9"/>
        <v>0</v>
      </c>
    </row>
    <row r="10" spans="1:35" x14ac:dyDescent="0.3">
      <c r="A10" s="37">
        <v>2027</v>
      </c>
      <c r="B10" s="86">
        <f>BAU!B10</f>
        <v>1600.8907869099392</v>
      </c>
      <c r="C10" s="84">
        <f>$B10*(MIN(BaseNCReachCode,ComplyNCReachCode)+(ComplyNCReachCode-MIN(BaseNCReachCode,ComplyNCReachCode))*TrueReachCode*('NC Reach Code Impacts'!$A10&gt;=StartReachCode))</f>
        <v>1600.8907869099392</v>
      </c>
      <c r="D10" s="84">
        <f>BAU!C10-SUM($C$3:$C10)</f>
        <v>413326.49855931604</v>
      </c>
      <c r="E10" s="84">
        <f>SUM(C$3:C10)</f>
        <v>11206.235508369573</v>
      </c>
      <c r="F10" s="227">
        <f t="shared" si="0"/>
        <v>-1213.475216477734</v>
      </c>
      <c r="G10" s="227">
        <f t="shared" si="1"/>
        <v>-1444.0034897927651</v>
      </c>
      <c r="H10" s="227">
        <f t="shared" si="2"/>
        <v>-1600.8907869099392</v>
      </c>
      <c r="I10" s="227">
        <v>0</v>
      </c>
      <c r="J10" s="227">
        <f t="shared" si="3"/>
        <v>1213.475216477734</v>
      </c>
      <c r="K10" s="227">
        <f t="shared" si="4"/>
        <v>1444.0034897927651</v>
      </c>
      <c r="L10" s="227">
        <v>0</v>
      </c>
      <c r="M10" s="84">
        <f>BAU!Z10+SUM(F$3:F10)</f>
        <v>105450.87900339752</v>
      </c>
      <c r="N10" s="84">
        <f>BAU!AA10+SUM(G$3:G10)</f>
        <v>198896.98616372285</v>
      </c>
      <c r="O10" s="84">
        <f>BAU!AB10+SUM(H$3:H10)</f>
        <v>0</v>
      </c>
      <c r="P10" s="84">
        <f>BAU!AC10+SUM(I$3:I10)</f>
        <v>56438.986849064037</v>
      </c>
      <c r="Q10" s="84">
        <f>BAU!AD10+SUM(J$3:J10)</f>
        <v>53633.854982974444</v>
      </c>
      <c r="R10" s="84">
        <f>BAU!AE10+SUM(K$3:K10)</f>
        <v>34275.728911100538</v>
      </c>
      <c r="S10" s="84">
        <f>BAU!AF10+SUM(L$3:L10)</f>
        <v>11206.235508369573</v>
      </c>
      <c r="T10" s="227">
        <f>BAU!AG10</f>
        <v>207850.6069045639</v>
      </c>
      <c r="U10" s="227">
        <f>BAU!AH10</f>
        <v>173923.51553678009</v>
      </c>
      <c r="V10" s="227">
        <f>BAU!AI10</f>
        <v>413326.49855931586</v>
      </c>
      <c r="W10" s="227">
        <f>BAU!AJ10</f>
        <v>61405.48528760903</v>
      </c>
      <c r="X10" s="227">
        <f>BAU!AK10</f>
        <v>57597.393176749552</v>
      </c>
      <c r="Y10" s="227">
        <f>BAU!AL10</f>
        <v>17436.503456081962</v>
      </c>
      <c r="Z10" s="227">
        <f>BAU!AM10</f>
        <v>413326.49855931586</v>
      </c>
      <c r="AA10" s="241">
        <f>(GasEmissions*SUMPRODUCT(GasUEC_NEW,$F10:$H10)+'stock-flow model'!$B9*SUMPRODUCT(ElecUEC_NEW,$I10:$L10)/1000)</f>
        <v>-2623.6237862702919</v>
      </c>
      <c r="AB10" s="85">
        <f>(GasEmissions*('Appliance Stock Profile'!$B$21*SUM(F$3:F10)+'Appliance Stock Profile'!$C$21*SUM(G$3:G10)+'Appliance Stock Profile'!$D$21*SUM(H$3:H10))+'stock-flow model'!$B9*('Appliance Stock Profile'!$F$21*SUM(J$3:J10)+'Appliance Stock Profile'!$G$21*SUM(K$3:K10))/1000)</f>
        <v>-18365.366503892041</v>
      </c>
      <c r="AC10" s="85">
        <f>(GasEmissions*SUMPRODUCT(GasUEC_NEW,M10:O10)+'stock-flow model'!$B9*SUMPRODUCT(ElecUEC_NEW,P10:S10)/1000)+(GasEmissions*SUMPRODUCT(GasUECs,T10:V10)+'stock-flow model'!$B9*SUMPRODUCT(ElecUECs,W10:Z10)/1000)</f>
        <v>879862.87272468803</v>
      </c>
      <c r="AD10" s="207">
        <f t="shared" si="5"/>
        <v>163881.62507303682</v>
      </c>
      <c r="AE10" s="207">
        <f t="shared" si="6"/>
        <v>43968.981831527068</v>
      </c>
      <c r="AF10" s="36">
        <f t="shared" si="7"/>
        <v>61405.48528760903</v>
      </c>
      <c r="AG10" s="36">
        <f t="shared" si="8"/>
        <v>-2709.677456437159</v>
      </c>
      <c r="AH10" s="36">
        <f t="shared" si="10"/>
        <v>-18365.366503892041</v>
      </c>
      <c r="AI10" s="36">
        <f t="shared" si="9"/>
        <v>0</v>
      </c>
    </row>
    <row r="11" spans="1:35" x14ac:dyDescent="0.3">
      <c r="A11" s="37">
        <v>2028</v>
      </c>
      <c r="B11" s="86">
        <f>BAU!B11</f>
        <v>1600.8907869099392</v>
      </c>
      <c r="C11" s="84">
        <f>$B11*(MIN(BaseNCReachCode,ComplyNCReachCode)+(ComplyNCReachCode-MIN(BaseNCReachCode,ComplyNCReachCode))*TrueReachCode*('NC Reach Code Impacts'!$A11&gt;=StartReachCode))</f>
        <v>1600.8907869099392</v>
      </c>
      <c r="D11" s="84">
        <f>BAU!C11-SUM($C$3:$C11)</f>
        <v>413326.49855931604</v>
      </c>
      <c r="E11" s="84">
        <f>SUM(C$3:C11)</f>
        <v>12807.126295279511</v>
      </c>
      <c r="F11" s="227">
        <f t="shared" si="0"/>
        <v>-1213.475216477734</v>
      </c>
      <c r="G11" s="227">
        <f t="shared" si="1"/>
        <v>-1444.0034897927651</v>
      </c>
      <c r="H11" s="227">
        <f t="shared" si="2"/>
        <v>-1600.8907869099392</v>
      </c>
      <c r="I11" s="227">
        <v>0</v>
      </c>
      <c r="J11" s="227">
        <f t="shared" si="3"/>
        <v>1213.475216477734</v>
      </c>
      <c r="K11" s="227">
        <f t="shared" si="4"/>
        <v>1444.0034897927651</v>
      </c>
      <c r="L11" s="227">
        <v>0</v>
      </c>
      <c r="M11" s="84">
        <f>BAU!Z11+SUM(F$3:F11)</f>
        <v>115843.40934862572</v>
      </c>
      <c r="N11" s="84">
        <f>BAU!AA11+SUM(G$3:G11)</f>
        <v>214708.21484888467</v>
      </c>
      <c r="O11" s="84">
        <f>BAU!AB11+SUM(H$3:H11)</f>
        <v>0</v>
      </c>
      <c r="P11" s="84">
        <f>BAU!AC11+SUM(I$3:I11)</f>
        <v>62133.576655147903</v>
      </c>
      <c r="Q11" s="84">
        <f>BAU!AD11+SUM(J$3:J11)</f>
        <v>59074.571981667679</v>
      </c>
      <c r="R11" s="84">
        <f>BAU!AE11+SUM(K$3:K11)</f>
        <v>37620.270043618671</v>
      </c>
      <c r="S11" s="84">
        <f>BAU!AF11+SUM(L$3:L11)</f>
        <v>12807.126295279511</v>
      </c>
      <c r="T11" s="227">
        <f>BAU!AG11</f>
        <v>197458.07655933572</v>
      </c>
      <c r="U11" s="227">
        <f>BAU!AH11</f>
        <v>158112.28685161826</v>
      </c>
      <c r="V11" s="227">
        <f>BAU!AI11</f>
        <v>413326.49855931586</v>
      </c>
      <c r="W11" s="227">
        <f>BAU!AJ11</f>
        <v>57311.786268435098</v>
      </c>
      <c r="X11" s="227">
        <f>BAU!AK11</f>
        <v>53757.566964966252</v>
      </c>
      <c r="Y11" s="227">
        <f>BAU!AL11</f>
        <v>15692.853110473767</v>
      </c>
      <c r="Z11" s="227">
        <f>BAU!AM11</f>
        <v>413326.49855931586</v>
      </c>
      <c r="AA11" s="241">
        <f>(GasEmissions*SUMPRODUCT(GasUEC_NEW,$F11:$H11)+'stock-flow model'!$B10*SUMPRODUCT(ElecUEC_NEW,$I11:$L11)/1000)</f>
        <v>-2637.966064631436</v>
      </c>
      <c r="AB11" s="85">
        <f>(GasEmissions*('Appliance Stock Profile'!$B$21*SUM(F$3:F11)+'Appliance Stock Profile'!$C$21*SUM(G$3:G11)+'Appliance Stock Profile'!$D$21*SUM(H$3:H11))+'stock-flow model'!$B10*('Appliance Stock Profile'!$F$21*SUM(J$3:J11)+'Appliance Stock Profile'!$G$21*SUM(K$3:K11))/1000)</f>
        <v>-21103.728517051488</v>
      </c>
      <c r="AC11" s="85">
        <f>(GasEmissions*SUMPRODUCT(GasUEC_NEW,M11:O11)+'stock-flow model'!$B10*SUMPRODUCT(ElecUEC_NEW,P11:S11)/1000)+(GasEmissions*SUMPRODUCT(GasUECs,T11:V11)+'stock-flow model'!$B10*SUMPRODUCT(ElecUECs,W11:Z11)/1000)</f>
        <v>853503.43252749462</v>
      </c>
      <c r="AD11" s="207">
        <f t="shared" si="5"/>
        <v>155839.1434013744</v>
      </c>
      <c r="AE11" s="207">
        <f t="shared" si="6"/>
        <v>41618.933157961335</v>
      </c>
      <c r="AF11" s="36">
        <f t="shared" si="7"/>
        <v>57311.786268435098</v>
      </c>
      <c r="AG11" s="36">
        <f t="shared" si="8"/>
        <v>-2738.3620131594471</v>
      </c>
      <c r="AH11" s="36">
        <f t="shared" si="10"/>
        <v>-21103.728517051488</v>
      </c>
      <c r="AI11" s="36">
        <f t="shared" si="9"/>
        <v>0</v>
      </c>
    </row>
    <row r="12" spans="1:35" x14ac:dyDescent="0.3">
      <c r="A12" s="37">
        <v>2029</v>
      </c>
      <c r="B12" s="86">
        <f>BAU!B12</f>
        <v>1600.8907869099392</v>
      </c>
      <c r="C12" s="84">
        <f>$B12*(MIN(BaseNCReachCode,ComplyNCReachCode)+(ComplyNCReachCode-MIN(BaseNCReachCode,ComplyNCReachCode))*TrueReachCode*('NC Reach Code Impacts'!$A12&gt;=StartReachCode))</f>
        <v>1600.8907869099392</v>
      </c>
      <c r="D12" s="84">
        <f>BAU!C12-SUM($C$3:$C12)</f>
        <v>413326.4985593161</v>
      </c>
      <c r="E12" s="84">
        <f>SUM(C$3:C12)</f>
        <v>14408.01708218945</v>
      </c>
      <c r="F12" s="227">
        <f t="shared" si="0"/>
        <v>-1213.475216477734</v>
      </c>
      <c r="G12" s="227">
        <f t="shared" si="1"/>
        <v>-1444.0034897927651</v>
      </c>
      <c r="H12" s="227">
        <f t="shared" si="2"/>
        <v>-1600.8907869099392</v>
      </c>
      <c r="I12" s="227">
        <v>0</v>
      </c>
      <c r="J12" s="227">
        <f t="shared" si="3"/>
        <v>1213.475216477734</v>
      </c>
      <c r="K12" s="227">
        <f t="shared" si="4"/>
        <v>1444.0034897927651</v>
      </c>
      <c r="L12" s="227">
        <v>0</v>
      </c>
      <c r="M12" s="84">
        <f>BAU!Z12+SUM(F$3:F12)</f>
        <v>125716.31317659249</v>
      </c>
      <c r="N12" s="84">
        <f>BAU!AA12+SUM(G$3:G12)</f>
        <v>229082.05910812269</v>
      </c>
      <c r="O12" s="84">
        <f>BAU!AB12+SUM(H$3:H12)</f>
        <v>0</v>
      </c>
      <c r="P12" s="84">
        <f>BAU!AC12+SUM(I$3:I12)</f>
        <v>67555.253193286859</v>
      </c>
      <c r="Q12" s="84">
        <f>BAU!AD12+SUM(J$3:J12)</f>
        <v>64259.300566242047</v>
      </c>
      <c r="R12" s="84">
        <f>BAU!AE12+SUM(K$3:K12)</f>
        <v>40790.446141575987</v>
      </c>
      <c r="S12" s="84">
        <f>BAU!AF12+SUM(L$3:L12)</f>
        <v>14408.01708218945</v>
      </c>
      <c r="T12" s="227">
        <f>BAU!AG12</f>
        <v>187585.17273136892</v>
      </c>
      <c r="U12" s="227">
        <f>BAU!AH12</f>
        <v>143738.44259238025</v>
      </c>
      <c r="V12" s="227">
        <f>BAU!AI12</f>
        <v>413326.49855931586</v>
      </c>
      <c r="W12" s="227">
        <f>BAU!AJ12</f>
        <v>53491.000517206092</v>
      </c>
      <c r="X12" s="227">
        <f>BAU!AK12</f>
        <v>50173.729167301834</v>
      </c>
      <c r="Y12" s="227">
        <f>BAU!AL12</f>
        <v>14123.56779942639</v>
      </c>
      <c r="Z12" s="227">
        <f>BAU!AM12</f>
        <v>413326.49855931586</v>
      </c>
      <c r="AA12" s="241">
        <f>(GasEmissions*SUMPRODUCT(GasUEC_NEW,$F12:$H12)+'stock-flow model'!$B11*SUMPRODUCT(ElecUEC_NEW,$I12:$L12)/1000)</f>
        <v>-2652.3083429925805</v>
      </c>
      <c r="AB12" s="85">
        <f>(GasEmissions*('Appliance Stock Profile'!$B$21*SUM(F$3:F12)+'Appliance Stock Profile'!$C$21*SUM(G$3:G12)+'Appliance Stock Profile'!$D$21*SUM(H$3:H12))+'stock-flow model'!$B11*('Appliance Stock Profile'!$F$21*SUM(J$3:J12)+'Appliance Stock Profile'!$G$21*SUM(K$3:K12))/1000)</f>
        <v>-23870.775086933227</v>
      </c>
      <c r="AC12" s="85">
        <f>(GasEmissions*SUMPRODUCT(GasUEC_NEW,M12:O12)+'stock-flow model'!$B11*SUMPRODUCT(ElecUEC_NEW,P12:S12)/1000)+(GasEmissions*SUMPRODUCT(GasUECs,T12:V12)+'stock-flow model'!$B11*SUMPRODUCT(ElecUECs,W12:Z12)/1000)</f>
        <v>827959.94905374025</v>
      </c>
      <c r="AD12" s="207">
        <f t="shared" si="5"/>
        <v>148217.74001358921</v>
      </c>
      <c r="AE12" s="207">
        <f t="shared" si="6"/>
        <v>39367.432717779702</v>
      </c>
      <c r="AF12" s="36">
        <f t="shared" si="7"/>
        <v>53491.000517206092</v>
      </c>
      <c r="AG12" s="36">
        <f t="shared" si="8"/>
        <v>-2767.0465698817388</v>
      </c>
      <c r="AH12" s="36">
        <f t="shared" si="10"/>
        <v>-23870.775086933227</v>
      </c>
      <c r="AI12" s="36">
        <f t="shared" si="9"/>
        <v>0</v>
      </c>
    </row>
    <row r="13" spans="1:35" x14ac:dyDescent="0.3">
      <c r="A13" s="37">
        <v>2030</v>
      </c>
      <c r="B13" s="86">
        <f>BAU!B13</f>
        <v>1600.8907869099392</v>
      </c>
      <c r="C13" s="84">
        <f>$B13*(MIN(BaseNCReachCode,ComplyNCReachCode)+(ComplyNCReachCode-MIN(BaseNCReachCode,ComplyNCReachCode))*TrueReachCode*('NC Reach Code Impacts'!$A13&gt;=StartReachCode))</f>
        <v>1600.8907869099392</v>
      </c>
      <c r="D13" s="84">
        <f>BAU!C13-SUM($C$3:$C13)</f>
        <v>413326.4985593161</v>
      </c>
      <c r="E13" s="84">
        <f>SUM(C$3:C13)</f>
        <v>16008.907869099388</v>
      </c>
      <c r="F13" s="227">
        <f t="shared" si="0"/>
        <v>-1213.475216477734</v>
      </c>
      <c r="G13" s="227">
        <f t="shared" si="1"/>
        <v>-1444.0034897927651</v>
      </c>
      <c r="H13" s="227">
        <f t="shared" si="2"/>
        <v>-1600.8907869099392</v>
      </c>
      <c r="I13" s="227">
        <v>0</v>
      </c>
      <c r="J13" s="227">
        <f t="shared" si="3"/>
        <v>1213.475216477734</v>
      </c>
      <c r="K13" s="227">
        <f t="shared" si="4"/>
        <v>1444.0034897927651</v>
      </c>
      <c r="L13" s="227">
        <v>0</v>
      </c>
      <c r="M13" s="84">
        <f>BAU!Z13+SUM(F$3:F13)</f>
        <v>135095.57181316096</v>
      </c>
      <c r="N13" s="84">
        <f>BAU!AA13+SUM(G$3:G13)</f>
        <v>242149.19025288452</v>
      </c>
      <c r="O13" s="84">
        <f>BAU!AB13+SUM(H$3:H13)</f>
        <v>0</v>
      </c>
      <c r="P13" s="84">
        <f>BAU!AC13+SUM(I$3:I13)</f>
        <v>72722.210681343859</v>
      </c>
      <c r="Q13" s="84">
        <f>BAU!AD13+SUM(J$3:J13)</f>
        <v>69205.106630972106</v>
      </c>
      <c r="R13" s="84">
        <f>BAU!AE13+SUM(K$3:K13)</f>
        <v>43803.693708428567</v>
      </c>
      <c r="S13" s="84">
        <f>BAU!AF13+SUM(L$3:L13)</f>
        <v>16008.907869099388</v>
      </c>
      <c r="T13" s="227">
        <f>BAU!AG13</f>
        <v>178205.91409480048</v>
      </c>
      <c r="U13" s="227">
        <f>BAU!AH13</f>
        <v>130671.31144761841</v>
      </c>
      <c r="V13" s="227">
        <f>BAU!AI13</f>
        <v>413326.49855931586</v>
      </c>
      <c r="W13" s="227">
        <f>BAU!AJ13</f>
        <v>49924.93381605902</v>
      </c>
      <c r="X13" s="227">
        <f>BAU!AK13</f>
        <v>46828.813889481709</v>
      </c>
      <c r="Y13" s="227">
        <f>BAU!AL13</f>
        <v>12711.211019483751</v>
      </c>
      <c r="Z13" s="227">
        <f>BAU!AM13</f>
        <v>413326.49855931586</v>
      </c>
      <c r="AA13" s="241">
        <f>(GasEmissions*SUMPRODUCT(GasUEC_NEW,$F13:$H13)+'stock-flow model'!$B12*SUMPRODUCT(ElecUEC_NEW,$I13:$L13)/1000)</f>
        <v>-2666.650621353725</v>
      </c>
      <c r="AB13" s="85">
        <f>(GasEmissions*('Appliance Stock Profile'!$B$21*SUM(F$3:F13)+'Appliance Stock Profile'!$C$21*SUM(G$3:G13)+'Appliance Stock Profile'!$D$21*SUM(H$3:H13))+'stock-flow model'!$B12*('Appliance Stock Profile'!$F$21*SUM(J$3:J13)+'Appliance Stock Profile'!$G$21*SUM(K$3:K13))/1000)</f>
        <v>-26666.50621353725</v>
      </c>
      <c r="AC13" s="85">
        <f>(GasEmissions*SUMPRODUCT(GasUEC_NEW,M13:O13)+'stock-flow model'!$B12*SUMPRODUCT(ElecUEC_NEW,P13:S13)/1000)+(GasEmissions*SUMPRODUCT(GasUECs,T13:V13)+'stock-flow model'!$B12*SUMPRODUCT(ElecUECs,W13:Z13)/1000)</f>
        <v>803149.30279456149</v>
      </c>
      <c r="AD13" s="207">
        <f t="shared" si="5"/>
        <v>140992.1912982252</v>
      </c>
      <c r="AE13" s="207">
        <f t="shared" si="6"/>
        <v>37213.722796575268</v>
      </c>
      <c r="AF13" s="36">
        <f t="shared" si="7"/>
        <v>49924.93381605902</v>
      </c>
      <c r="AG13" s="36">
        <f t="shared" si="8"/>
        <v>-2795.7311266040233</v>
      </c>
      <c r="AH13" s="36">
        <f t="shared" si="10"/>
        <v>-26666.50621353725</v>
      </c>
      <c r="AI13" s="36">
        <f t="shared" si="9"/>
        <v>0</v>
      </c>
    </row>
    <row r="14" spans="1:35" x14ac:dyDescent="0.3">
      <c r="A14" s="37">
        <v>2031</v>
      </c>
      <c r="B14" s="86">
        <f>BAU!B14</f>
        <v>1600.8907869099392</v>
      </c>
      <c r="C14" s="84">
        <f>$B14*(MIN(BaseNCReachCode,ComplyNCReachCode)+(ComplyNCReachCode-MIN(BaseNCReachCode,ComplyNCReachCode))*TrueReachCode*('NC Reach Code Impacts'!$A14&gt;=StartReachCode))</f>
        <v>1600.8907869099392</v>
      </c>
      <c r="D14" s="84">
        <f>BAU!C14-SUM($C$3:$C14)</f>
        <v>413326.49855931615</v>
      </c>
      <c r="E14" s="84">
        <f>SUM(C$3:C14)</f>
        <v>17609.798656009327</v>
      </c>
      <c r="F14" s="227">
        <f t="shared" si="0"/>
        <v>-1213.475216477734</v>
      </c>
      <c r="G14" s="227">
        <f t="shared" si="1"/>
        <v>-1444.0034897927651</v>
      </c>
      <c r="H14" s="227">
        <f t="shared" si="2"/>
        <v>-1600.8907869099392</v>
      </c>
      <c r="I14" s="227">
        <v>0</v>
      </c>
      <c r="J14" s="227">
        <f t="shared" si="3"/>
        <v>1213.475216477734</v>
      </c>
      <c r="K14" s="227">
        <f t="shared" si="4"/>
        <v>1444.0034897927651</v>
      </c>
      <c r="L14" s="227">
        <v>0</v>
      </c>
      <c r="M14" s="84">
        <f>BAU!Z14+SUM(F$3:F14)</f>
        <v>144005.86751790097</v>
      </c>
      <c r="N14" s="84">
        <f>BAU!AA14+SUM(G$3:G14)</f>
        <v>254028.40038448619</v>
      </c>
      <c r="O14" s="84">
        <f>BAU!AB14+SUM(H$3:H14)</f>
        <v>0</v>
      </c>
      <c r="P14" s="84">
        <f>BAU!AC14+SUM(I$3:I14)</f>
        <v>77651.430389324407</v>
      </c>
      <c r="Q14" s="84">
        <f>BAU!AD14+SUM(J$3:J14)</f>
        <v>73927.918343847487</v>
      </c>
      <c r="R14" s="84">
        <f>BAU!AE14+SUM(K$3:K14)</f>
        <v>46675.705597286877</v>
      </c>
      <c r="S14" s="84">
        <f>BAU!AF14+SUM(L$3:L14)</f>
        <v>17609.798656009327</v>
      </c>
      <c r="T14" s="227">
        <f>BAU!AG14</f>
        <v>169295.61839006047</v>
      </c>
      <c r="U14" s="227">
        <f>BAU!AH14</f>
        <v>118792.10131601675</v>
      </c>
      <c r="V14" s="227">
        <f>BAU!AI14</f>
        <v>413326.49855931586</v>
      </c>
      <c r="W14" s="227">
        <f>BAU!AJ14</f>
        <v>46596.604894988421</v>
      </c>
      <c r="X14" s="227">
        <f>BAU!AK14</f>
        <v>43706.892963516264</v>
      </c>
      <c r="Y14" s="227">
        <f>BAU!AL14</f>
        <v>11440.089917535377</v>
      </c>
      <c r="Z14" s="227">
        <f>BAU!AM14</f>
        <v>413326.49855931586</v>
      </c>
      <c r="AA14" s="241">
        <f>(GasEmissions*SUMPRODUCT(GasUEC_NEW,$F14:$H14)+'stock-flow model'!$B13*SUMPRODUCT(ElecUEC_NEW,$I14:$L14)/1000)</f>
        <v>-2666.650621353725</v>
      </c>
      <c r="AB14" s="85">
        <f>(GasEmissions*('Appliance Stock Profile'!$B$21*SUM(F$3:F14)+'Appliance Stock Profile'!$C$21*SUM(G$3:G14)+'Appliance Stock Profile'!$D$21*SUM(H$3:H14))+'stock-flow model'!$B13*('Appliance Stock Profile'!$F$21*SUM(J$3:J14)+'Appliance Stock Profile'!$G$21*SUM(K$3:K14))/1000)</f>
        <v>-29333.156834890979</v>
      </c>
      <c r="AC14" s="85">
        <f>(GasEmissions*SUMPRODUCT(GasUEC_NEW,M14:O14)+'stock-flow model'!$B13*SUMPRODUCT(ElecUEC_NEW,P14:S14)/1000)+(GasEmissions*SUMPRODUCT(GasUECs,T14:V14)+'stock-flow model'!$B13*SUMPRODUCT(ElecUECs,W14:Z14)/1000)</f>
        <v>794466.4237469089</v>
      </c>
      <c r="AD14" s="207">
        <f t="shared" si="5"/>
        <v>134139.10341260742</v>
      </c>
      <c r="AE14" s="207">
        <f t="shared" si="6"/>
        <v>35156.514977453044</v>
      </c>
      <c r="AF14" s="36">
        <f t="shared" si="7"/>
        <v>46596.604894988421</v>
      </c>
      <c r="AG14" s="36">
        <f t="shared" si="8"/>
        <v>-2666.6506213537286</v>
      </c>
      <c r="AH14" s="36">
        <f t="shared" si="10"/>
        <v>-29333.156834890979</v>
      </c>
      <c r="AI14" s="36">
        <f t="shared" si="9"/>
        <v>0</v>
      </c>
    </row>
    <row r="15" spans="1:35" x14ac:dyDescent="0.3">
      <c r="A15" s="37">
        <v>2032</v>
      </c>
      <c r="B15" s="86">
        <f>BAU!B15</f>
        <v>1600.8907869099392</v>
      </c>
      <c r="C15" s="84">
        <f>$B15*(MIN(BaseNCReachCode,ComplyNCReachCode)+(ComplyNCReachCode-MIN(BaseNCReachCode,ComplyNCReachCode))*TrueReachCode*('NC Reach Code Impacts'!$A15&gt;=StartReachCode))</f>
        <v>1600.8907869099392</v>
      </c>
      <c r="D15" s="84">
        <f>BAU!C15-SUM($C$3:$C15)</f>
        <v>413326.49855931615</v>
      </c>
      <c r="E15" s="84">
        <f>SUM(C$3:C15)</f>
        <v>19210.689442919265</v>
      </c>
      <c r="F15" s="227">
        <f t="shared" si="0"/>
        <v>-1213.475216477734</v>
      </c>
      <c r="G15" s="227">
        <f t="shared" si="1"/>
        <v>-1444.0034897927651</v>
      </c>
      <c r="H15" s="227">
        <f t="shared" si="2"/>
        <v>-1600.8907869099392</v>
      </c>
      <c r="I15" s="227">
        <v>0</v>
      </c>
      <c r="J15" s="227">
        <f t="shared" si="3"/>
        <v>1213.475216477734</v>
      </c>
      <c r="K15" s="227">
        <f t="shared" si="4"/>
        <v>1444.0034897927651</v>
      </c>
      <c r="L15" s="227">
        <v>0</v>
      </c>
      <c r="M15" s="84">
        <f>BAU!Z15+SUM(F$3:F15)</f>
        <v>152470.64843740399</v>
      </c>
      <c r="N15" s="84">
        <f>BAU!AA15+SUM(G$3:G15)</f>
        <v>264827.68232230592</v>
      </c>
      <c r="O15" s="84">
        <f>BAU!AB15+SUM(H$3:H15)</f>
        <v>0</v>
      </c>
      <c r="P15" s="84">
        <f>BAU!AC15+SUM(I$3:I15)</f>
        <v>82358.761502566893</v>
      </c>
      <c r="Q15" s="84">
        <f>BAU!AD15+SUM(J$3:J15)</f>
        <v>78442.601994991855</v>
      </c>
      <c r="R15" s="84">
        <f>BAU!AE15+SUM(K$3:K15)</f>
        <v>49420.605375950356</v>
      </c>
      <c r="S15" s="84">
        <f>BAU!AF15+SUM(L$3:L15)</f>
        <v>19210.689442919265</v>
      </c>
      <c r="T15" s="227">
        <f>BAU!AG15</f>
        <v>160830.83747055745</v>
      </c>
      <c r="U15" s="227">
        <f>BAU!AH15</f>
        <v>107992.81937819702</v>
      </c>
      <c r="V15" s="227">
        <f>BAU!AI15</f>
        <v>413326.49855931586</v>
      </c>
      <c r="W15" s="227">
        <f>BAU!AJ15</f>
        <v>43490.164568655862</v>
      </c>
      <c r="X15" s="227">
        <f>BAU!AK15</f>
        <v>40793.100099281844</v>
      </c>
      <c r="Y15" s="227">
        <f>BAU!AL15</f>
        <v>10296.08092578184</v>
      </c>
      <c r="Z15" s="227">
        <f>BAU!AM15</f>
        <v>413326.49855931586</v>
      </c>
      <c r="AA15" s="241">
        <f>(GasEmissions*SUMPRODUCT(GasUEC_NEW,$F15:$H15)+'stock-flow model'!$B14*SUMPRODUCT(ElecUEC_NEW,$I15:$L15)/1000)</f>
        <v>-2666.650621353725</v>
      </c>
      <c r="AB15" s="85">
        <f>(GasEmissions*('Appliance Stock Profile'!$B$21*SUM(F$3:F15)+'Appliance Stock Profile'!$C$21*SUM(G$3:G15)+'Appliance Stock Profile'!$D$21*SUM(H$3:H15))+'stock-flow model'!$B14*('Appliance Stock Profile'!$F$21*SUM(J$3:J15)+'Appliance Stock Profile'!$G$21*SUM(K$3:K15))/1000)</f>
        <v>-31999.8074562447</v>
      </c>
      <c r="AC15" s="85">
        <f>(GasEmissions*SUMPRODUCT(GasUEC_NEW,M15:O15)+'stock-flow model'!$B14*SUMPRODUCT(ElecUEC_NEW,P15:S15)/1000)+(GasEmissions*SUMPRODUCT(GasUECs,T15:V15)+'stock-flow model'!$B14*SUMPRODUCT(ElecUECs,W15:Z15)/1000)</f>
        <v>786485.8628315886</v>
      </c>
      <c r="AD15" s="207">
        <f t="shared" si="5"/>
        <v>127636.75382768342</v>
      </c>
      <c r="AE15" s="207">
        <f t="shared" si="6"/>
        <v>33194.083642874022</v>
      </c>
      <c r="AF15" s="36">
        <f t="shared" si="7"/>
        <v>43490.164568655862</v>
      </c>
      <c r="AG15" s="36">
        <f t="shared" si="8"/>
        <v>-2666.6506213537214</v>
      </c>
      <c r="AH15" s="36">
        <f t="shared" si="10"/>
        <v>-31999.8074562447</v>
      </c>
      <c r="AI15" s="36">
        <f t="shared" si="9"/>
        <v>0</v>
      </c>
    </row>
    <row r="16" spans="1:35" x14ac:dyDescent="0.3">
      <c r="A16" s="37">
        <v>2033</v>
      </c>
      <c r="B16" s="86">
        <f>BAU!B16</f>
        <v>1600.8907869099392</v>
      </c>
      <c r="C16" s="84">
        <f>$B16*(MIN(BaseNCReachCode,ComplyNCReachCode)+(ComplyNCReachCode-MIN(BaseNCReachCode,ComplyNCReachCode))*TrueReachCode*('NC Reach Code Impacts'!$A16&gt;=StartReachCode))</f>
        <v>1600.8907869099392</v>
      </c>
      <c r="D16" s="84">
        <f>BAU!C16-SUM($C$3:$C16)</f>
        <v>413326.49855931621</v>
      </c>
      <c r="E16" s="84">
        <f>SUM(C$3:C16)</f>
        <v>20811.580229829204</v>
      </c>
      <c r="F16" s="227">
        <f t="shared" si="0"/>
        <v>-1213.475216477734</v>
      </c>
      <c r="G16" s="227">
        <f t="shared" si="1"/>
        <v>-1444.0034897927651</v>
      </c>
      <c r="H16" s="227">
        <f t="shared" si="2"/>
        <v>-1600.8907869099392</v>
      </c>
      <c r="I16" s="227">
        <v>0</v>
      </c>
      <c r="J16" s="227">
        <f t="shared" si="3"/>
        <v>1213.475216477734</v>
      </c>
      <c r="K16" s="227">
        <f t="shared" si="4"/>
        <v>1444.0034897927651</v>
      </c>
      <c r="L16" s="227">
        <v>0</v>
      </c>
      <c r="M16" s="84">
        <f>BAU!Z16+SUM(F$3:F16)</f>
        <v>160512.19031093185</v>
      </c>
      <c r="N16" s="84">
        <f>BAU!AA16+SUM(G$3:G16)</f>
        <v>274645.21135668748</v>
      </c>
      <c r="O16" s="84">
        <f>BAU!AB16+SUM(H$3:H16)</f>
        <v>0</v>
      </c>
      <c r="P16" s="84">
        <f>BAU!AC16+SUM(I$3:I16)</f>
        <v>86858.996594053897</v>
      </c>
      <c r="Q16" s="84">
        <f>BAU!AD16+SUM(J$3:J16)</f>
        <v>82763.032788520577</v>
      </c>
      <c r="R16" s="84">
        <f>BAU!AE16+SUM(K$3:K16)</f>
        <v>52051.104255438477</v>
      </c>
      <c r="S16" s="84">
        <f>BAU!AF16+SUM(L$3:L16)</f>
        <v>20811.580229829204</v>
      </c>
      <c r="T16" s="227">
        <f>BAU!AG16</f>
        <v>152789.29559702959</v>
      </c>
      <c r="U16" s="227">
        <f>BAU!AH16</f>
        <v>98175.290343815461</v>
      </c>
      <c r="V16" s="227">
        <f>BAU!AI16</f>
        <v>413326.49855931586</v>
      </c>
      <c r="W16" s="227">
        <f>BAU!AJ16</f>
        <v>40590.820264078808</v>
      </c>
      <c r="X16" s="227">
        <f>BAU!AK16</f>
        <v>38073.560092663058</v>
      </c>
      <c r="Y16" s="227">
        <f>BAU!AL16</f>
        <v>9266.4728332036575</v>
      </c>
      <c r="Z16" s="227">
        <f>BAU!AM16</f>
        <v>413326.49855931586</v>
      </c>
      <c r="AA16" s="241">
        <f>(GasEmissions*SUMPRODUCT(GasUEC_NEW,$F16:$H16)+'stock-flow model'!$B15*SUMPRODUCT(ElecUEC_NEW,$I16:$L16)/1000)</f>
        <v>-2666.650621353725</v>
      </c>
      <c r="AB16" s="85">
        <f>(GasEmissions*('Appliance Stock Profile'!$B$21*SUM(F$3:F16)+'Appliance Stock Profile'!$C$21*SUM(G$3:G16)+'Appliance Stock Profile'!$D$21*SUM(H$3:H16))+'stock-flow model'!$B15*('Appliance Stock Profile'!$F$21*SUM(J$3:J16)+'Appliance Stock Profile'!$G$21*SUM(K$3:K16))/1000)</f>
        <v>-34666.458077598429</v>
      </c>
      <c r="AC16" s="85">
        <f>(GasEmissions*SUMPRODUCT(GasUEC_NEW,M16:O16)+'stock-flow model'!$B15*SUMPRODUCT(ElecUEC_NEW,P16:S16)/1000)+(GasEmissions*SUMPRODUCT(GasUECs,T16:V16)+'stock-flow model'!$B15*SUMPRODUCT(ElecUECs,W16:Z16)/1000)</f>
        <v>779148.12467107933</v>
      </c>
      <c r="AD16" s="207">
        <f t="shared" si="5"/>
        <v>121464.94816615443</v>
      </c>
      <c r="AE16" s="207">
        <f t="shared" si="6"/>
        <v>31324.34743087515</v>
      </c>
      <c r="AF16" s="36">
        <f t="shared" si="7"/>
        <v>40590.820264078808</v>
      </c>
      <c r="AG16" s="36">
        <f t="shared" si="8"/>
        <v>-2666.6506213537286</v>
      </c>
      <c r="AH16" s="36">
        <f t="shared" si="10"/>
        <v>-34666.458077598429</v>
      </c>
      <c r="AI16" s="36">
        <f t="shared" si="9"/>
        <v>0</v>
      </c>
    </row>
    <row r="17" spans="1:35" x14ac:dyDescent="0.3">
      <c r="A17" s="37">
        <v>2034</v>
      </c>
      <c r="B17" s="86">
        <f>BAU!B17</f>
        <v>1600.8907869099392</v>
      </c>
      <c r="C17" s="84">
        <f>$B17*(MIN(BaseNCReachCode,ComplyNCReachCode)+(ComplyNCReachCode-MIN(BaseNCReachCode,ComplyNCReachCode))*TrueReachCode*('NC Reach Code Impacts'!$A17&gt;=StartReachCode))</f>
        <v>1600.8907869099392</v>
      </c>
      <c r="D17" s="84">
        <f>BAU!C17-SUM($C$3:$C17)</f>
        <v>413326.49855931621</v>
      </c>
      <c r="E17" s="84">
        <f>SUM(C$3:C17)</f>
        <v>22412.471016739142</v>
      </c>
      <c r="F17" s="227">
        <f t="shared" si="0"/>
        <v>-1213.475216477734</v>
      </c>
      <c r="G17" s="227">
        <f t="shared" si="1"/>
        <v>-1444.0034897927651</v>
      </c>
      <c r="H17" s="227">
        <f t="shared" si="2"/>
        <v>-1600.8907869099392</v>
      </c>
      <c r="I17" s="227">
        <v>0</v>
      </c>
      <c r="J17" s="227">
        <f t="shared" si="3"/>
        <v>1213.475216477734</v>
      </c>
      <c r="K17" s="227">
        <f t="shared" si="4"/>
        <v>1444.0034897927651</v>
      </c>
      <c r="L17" s="227">
        <v>0</v>
      </c>
      <c r="M17" s="84">
        <f>BAU!Z17+SUM(F$3:F17)</f>
        <v>168151.65509078332</v>
      </c>
      <c r="N17" s="84">
        <f>BAU!AA17+SUM(G$3:G17)</f>
        <v>283570.23775157979</v>
      </c>
      <c r="O17" s="84">
        <f>BAU!AB17+SUM(H$3:H17)</f>
        <v>0</v>
      </c>
      <c r="P17" s="84">
        <f>BAU!AC17+SUM(I$3:I17)</f>
        <v>91165.942065235751</v>
      </c>
      <c r="Q17" s="84">
        <f>BAU!AD17+SUM(J$3:J17)</f>
        <v>86902.160914941385</v>
      </c>
      <c r="R17" s="84">
        <f>BAU!AE17+SUM(K$3:K17)</f>
        <v>54578.642325668785</v>
      </c>
      <c r="S17" s="84">
        <f>BAU!AF17+SUM(L$3:L17)</f>
        <v>22412.471016739142</v>
      </c>
      <c r="T17" s="227">
        <f>BAU!AG17</f>
        <v>145149.8308171781</v>
      </c>
      <c r="U17" s="227">
        <f>BAU!AH17</f>
        <v>89250.263948923151</v>
      </c>
      <c r="V17" s="227">
        <f>BAU!AI17</f>
        <v>413326.49855931586</v>
      </c>
      <c r="W17" s="227">
        <f>BAU!AJ17</f>
        <v>37884.765579806888</v>
      </c>
      <c r="X17" s="227">
        <f>BAU!AK17</f>
        <v>35535.322753152184</v>
      </c>
      <c r="Y17" s="227">
        <f>BAU!AL17</f>
        <v>8339.8255498832914</v>
      </c>
      <c r="Z17" s="227">
        <f>BAU!AM17</f>
        <v>413326.49855931586</v>
      </c>
      <c r="AA17" s="241">
        <f>(GasEmissions*SUMPRODUCT(GasUEC_NEW,$F17:$H17)+'stock-flow model'!$B16*SUMPRODUCT(ElecUEC_NEW,$I17:$L17)/1000)</f>
        <v>-2666.650621353725</v>
      </c>
      <c r="AB17" s="85">
        <f>(GasEmissions*('Appliance Stock Profile'!$B$21*SUM(F$3:F17)+'Appliance Stock Profile'!$C$21*SUM(G$3:G17)+'Appliance Stock Profile'!$D$21*SUM(H$3:H17))+'stock-flow model'!$B16*('Appliance Stock Profile'!$F$21*SUM(J$3:J17)+'Appliance Stock Profile'!$G$21*SUM(K$3:K17))/1000)</f>
        <v>-37333.10869895215</v>
      </c>
      <c r="AC17" s="85">
        <f>(GasEmissions*SUMPRODUCT(GasUEC_NEW,M17:O17)+'stock-flow model'!$B16*SUMPRODUCT(ElecUEC_NEW,P17:S17)/1000)+(GasEmissions*SUMPRODUCT(GasUECs,T17:V17)+'stock-flow model'!$B16*SUMPRODUCT(ElecUECs,W17:Z17)/1000)</f>
        <v>772398.90497227258</v>
      </c>
      <c r="AD17" s="207">
        <f t="shared" si="5"/>
        <v>115604.89078725451</v>
      </c>
      <c r="AE17" s="207">
        <f t="shared" si="6"/>
        <v>29544.940029923597</v>
      </c>
      <c r="AF17" s="36">
        <f t="shared" si="7"/>
        <v>37884.765579806888</v>
      </c>
      <c r="AG17" s="36">
        <f t="shared" si="8"/>
        <v>-2666.6506213537214</v>
      </c>
      <c r="AH17" s="36">
        <f t="shared" si="10"/>
        <v>-37333.10869895215</v>
      </c>
      <c r="AI17" s="36">
        <f t="shared" si="9"/>
        <v>0</v>
      </c>
    </row>
    <row r="18" spans="1:35" x14ac:dyDescent="0.3">
      <c r="A18" s="37">
        <v>2035</v>
      </c>
      <c r="B18" s="86">
        <f>BAU!B18</f>
        <v>1600.8907869099392</v>
      </c>
      <c r="C18" s="84">
        <f>$B18*(MIN(BaseNCReachCode,ComplyNCReachCode)+(ComplyNCReachCode-MIN(BaseNCReachCode,ComplyNCReachCode))*TrueReachCode*('NC Reach Code Impacts'!$A18&gt;=StartReachCode))</f>
        <v>1600.8907869099392</v>
      </c>
      <c r="D18" s="84">
        <f>BAU!C18-SUM($C$3:$C18)</f>
        <v>413326.49855931627</v>
      </c>
      <c r="E18" s="84">
        <f>SUM(C$3:C18)</f>
        <v>24013.361803649081</v>
      </c>
      <c r="F18" s="227">
        <f t="shared" si="0"/>
        <v>-1213.475216477734</v>
      </c>
      <c r="G18" s="227">
        <f t="shared" si="1"/>
        <v>-1444.0034897927651</v>
      </c>
      <c r="H18" s="227">
        <f t="shared" si="2"/>
        <v>-1600.8907869099392</v>
      </c>
      <c r="I18" s="227">
        <v>0</v>
      </c>
      <c r="J18" s="227">
        <f t="shared" si="3"/>
        <v>1213.475216477734</v>
      </c>
      <c r="K18" s="227">
        <f t="shared" si="4"/>
        <v>1444.0034897927651</v>
      </c>
      <c r="L18" s="227">
        <v>0</v>
      </c>
      <c r="M18" s="84">
        <f>BAU!Z18+SUM(F$3:F18)</f>
        <v>175409.14663164222</v>
      </c>
      <c r="N18" s="84">
        <f>BAU!AA18+SUM(G$3:G18)</f>
        <v>291683.89811057277</v>
      </c>
      <c r="O18" s="84">
        <f>BAU!AB18+SUM(H$3:H18)</f>
        <v>0</v>
      </c>
      <c r="P18" s="84">
        <f>BAU!AC18+SUM(I$3:I18)</f>
        <v>95292.483890799485</v>
      </c>
      <c r="Q18" s="84">
        <f>BAU!AD18+SUM(J$3:J18)</f>
        <v>90872.073218728139</v>
      </c>
      <c r="R18" s="84">
        <f>BAU!AE18+SUM(K$3:K18)</f>
        <v>57013.515667567044</v>
      </c>
      <c r="S18" s="84">
        <f>BAU!AF18+SUM(L$3:L18)</f>
        <v>24013.361803649081</v>
      </c>
      <c r="T18" s="227">
        <f>BAU!AG18</f>
        <v>137892.3392763192</v>
      </c>
      <c r="U18" s="227">
        <f>BAU!AH18</f>
        <v>81136.603589930164</v>
      </c>
      <c r="V18" s="227">
        <f>BAU!AI18</f>
        <v>413326.49855931586</v>
      </c>
      <c r="W18" s="227">
        <f>BAU!AJ18</f>
        <v>35359.114541153089</v>
      </c>
      <c r="X18" s="227">
        <f>BAU!AK18</f>
        <v>33166.301236275365</v>
      </c>
      <c r="Y18" s="227">
        <f>BAU!AL18</f>
        <v>7505.8429948949633</v>
      </c>
      <c r="Z18" s="227">
        <f>BAU!AM18</f>
        <v>413326.49855931586</v>
      </c>
      <c r="AA18" s="241">
        <f>(GasEmissions*SUMPRODUCT(GasUEC_NEW,$F18:$H18)+'stock-flow model'!$B17*SUMPRODUCT(ElecUEC_NEW,$I18:$L18)/1000)</f>
        <v>-2666.650621353725</v>
      </c>
      <c r="AB18" s="85">
        <f>(GasEmissions*('Appliance Stock Profile'!$B$21*SUM(F$3:F18)+'Appliance Stock Profile'!$C$21*SUM(G$3:G18)+'Appliance Stock Profile'!$D$21*SUM(H$3:H18))+'stock-flow model'!$B17*('Appliance Stock Profile'!$F$21*SUM(J$3:J18)+'Appliance Stock Profile'!$G$21*SUM(K$3:K18))/1000)</f>
        <v>-39999.759320305871</v>
      </c>
      <c r="AC18" s="85">
        <f>(GasEmissions*SUMPRODUCT(GasUEC_NEW,M18:O18)+'stock-flow model'!$B17*SUMPRODUCT(ElecUEC_NEW,P18:S18)/1000)+(GasEmissions*SUMPRODUCT(GasUECs,T18:V18)+'stock-flow model'!$B17*SUMPRODUCT(ElecUECs,W18:Z18)/1000)</f>
        <v>766188.62948902207</v>
      </c>
      <c r="AD18" s="207">
        <f t="shared" si="5"/>
        <v>110039.06773006106</v>
      </c>
      <c r="AE18" s="207">
        <f t="shared" si="6"/>
        <v>27853.271546258125</v>
      </c>
      <c r="AF18" s="36">
        <f t="shared" si="7"/>
        <v>35359.114541153089</v>
      </c>
      <c r="AG18" s="36">
        <f t="shared" si="8"/>
        <v>-2666.6506213537214</v>
      </c>
      <c r="AH18" s="36">
        <f t="shared" si="10"/>
        <v>-39999.759320305871</v>
      </c>
      <c r="AI18" s="36">
        <f t="shared" si="9"/>
        <v>0</v>
      </c>
    </row>
    <row r="19" spans="1:35" x14ac:dyDescent="0.3">
      <c r="A19" s="37">
        <v>2036</v>
      </c>
      <c r="B19" s="86">
        <f>BAU!B19</f>
        <v>1600.8907869099392</v>
      </c>
      <c r="C19" s="84">
        <f>$B19*(MIN(BaseNCReachCode,ComplyNCReachCode)+(ComplyNCReachCode-MIN(BaseNCReachCode,ComplyNCReachCode))*TrueReachCode*('NC Reach Code Impacts'!$A19&gt;=StartReachCode))</f>
        <v>1600.8907869099392</v>
      </c>
      <c r="D19" s="84">
        <f>BAU!C19-SUM($C$3:$C19)</f>
        <v>413326.49855931627</v>
      </c>
      <c r="E19" s="84">
        <f>SUM(C$3:C19)</f>
        <v>25614.252590559019</v>
      </c>
      <c r="F19" s="227">
        <f t="shared" si="0"/>
        <v>-1213.475216477734</v>
      </c>
      <c r="G19" s="227">
        <f t="shared" si="1"/>
        <v>-1444.0034897927651</v>
      </c>
      <c r="H19" s="227">
        <f t="shared" si="2"/>
        <v>-1600.8907869099392</v>
      </c>
      <c r="I19" s="227">
        <v>0</v>
      </c>
      <c r="J19" s="227">
        <f t="shared" si="3"/>
        <v>1213.475216477734</v>
      </c>
      <c r="K19" s="227">
        <f t="shared" si="4"/>
        <v>1444.0034897927651</v>
      </c>
      <c r="L19" s="227">
        <v>0</v>
      </c>
      <c r="M19" s="84">
        <f>BAU!Z19+SUM(F$3:F19)</f>
        <v>182303.76359545818</v>
      </c>
      <c r="N19" s="84">
        <f>BAU!AA19+SUM(G$3:G19)</f>
        <v>299059.9529823846</v>
      </c>
      <c r="O19" s="84">
        <f>BAU!AB19+SUM(H$3:H19)</f>
        <v>0</v>
      </c>
      <c r="P19" s="84">
        <f>BAU!AC19+SUM(I$3:I19)</f>
        <v>99250.648980452956</v>
      </c>
      <c r="Q19" s="84">
        <f>BAU!AD19+SUM(J$3:J19)</f>
        <v>94684.05075472311</v>
      </c>
      <c r="R19" s="84">
        <f>BAU!AE19+SUM(K$3:K19)</f>
        <v>59364.990753966485</v>
      </c>
      <c r="S19" s="84">
        <f>BAU!AF19+SUM(L$3:L19)</f>
        <v>25614.252590559019</v>
      </c>
      <c r="T19" s="227">
        <f>BAU!AG19</f>
        <v>130997.72231250323</v>
      </c>
      <c r="U19" s="227">
        <f>BAU!AH19</f>
        <v>73760.548718118342</v>
      </c>
      <c r="V19" s="227">
        <f>BAU!AI19</f>
        <v>413326.49855931586</v>
      </c>
      <c r="W19" s="227">
        <f>BAU!AJ19</f>
        <v>33001.840238409553</v>
      </c>
      <c r="X19" s="227">
        <f>BAU!AK19</f>
        <v>30955.214487190344</v>
      </c>
      <c r="Y19" s="227">
        <f>BAU!AL19</f>
        <v>6755.2586954054641</v>
      </c>
      <c r="Z19" s="227">
        <f>BAU!AM19</f>
        <v>413326.49855931586</v>
      </c>
      <c r="AA19" s="241">
        <f>(GasEmissions*SUMPRODUCT(GasUEC_NEW,$F19:$H19)+'stock-flow model'!$B18*SUMPRODUCT(ElecUEC_NEW,$I19:$L19)/1000)</f>
        <v>-2666.650621353725</v>
      </c>
      <c r="AB19" s="85">
        <f>(GasEmissions*('Appliance Stock Profile'!$B$21*SUM(F$3:F19)+'Appliance Stock Profile'!$C$21*SUM(G$3:G19)+'Appliance Stock Profile'!$D$21*SUM(H$3:H19))+'stock-flow model'!$B18*('Appliance Stock Profile'!$F$21*SUM(J$3:J19)+'Appliance Stock Profile'!$G$21*SUM(K$3:K19))/1000)</f>
        <v>-42666.4099416596</v>
      </c>
      <c r="AC19" s="85">
        <f>(GasEmissions*SUMPRODUCT(GasUEC_NEW,M19:O19)+'stock-flow model'!$B18*SUMPRODUCT(ElecUEC_NEW,P19:S19)/1000)+(GasEmissions*SUMPRODUCT(GasUECs,T19:V19)+'stock-flow model'!$B18*SUMPRODUCT(ElecUECs,W19:Z19)/1000)</f>
        <v>760472.03435322084</v>
      </c>
      <c r="AD19" s="207">
        <f t="shared" si="5"/>
        <v>104751.14076949915</v>
      </c>
      <c r="AE19" s="207">
        <f t="shared" si="6"/>
        <v>26246.581543004089</v>
      </c>
      <c r="AF19" s="36">
        <f t="shared" si="7"/>
        <v>33001.840238409553</v>
      </c>
      <c r="AG19" s="36">
        <f t="shared" si="8"/>
        <v>-2666.6506213537286</v>
      </c>
      <c r="AH19" s="36">
        <f t="shared" si="10"/>
        <v>-42666.4099416596</v>
      </c>
      <c r="AI19" s="36">
        <f t="shared" si="9"/>
        <v>0</v>
      </c>
    </row>
    <row r="20" spans="1:35" x14ac:dyDescent="0.3">
      <c r="A20" s="37">
        <v>2037</v>
      </c>
      <c r="B20" s="86">
        <f>BAU!B20</f>
        <v>1600.8907869099392</v>
      </c>
      <c r="C20" s="84">
        <f>$B20*(MIN(BaseNCReachCode,ComplyNCReachCode)+(ComplyNCReachCode-MIN(BaseNCReachCode,ComplyNCReachCode))*TrueReachCode*('NC Reach Code Impacts'!$A20&gt;=StartReachCode))</f>
        <v>1600.8907869099392</v>
      </c>
      <c r="D20" s="84">
        <f>BAU!C20-SUM($C$3:$C20)</f>
        <v>413326.49855931627</v>
      </c>
      <c r="E20" s="84">
        <f>SUM(C$3:C20)</f>
        <v>27215.143377468958</v>
      </c>
      <c r="F20" s="227">
        <f t="shared" si="0"/>
        <v>-1213.475216477734</v>
      </c>
      <c r="G20" s="227">
        <f t="shared" si="1"/>
        <v>-1444.0034897927651</v>
      </c>
      <c r="H20" s="227">
        <f t="shared" si="2"/>
        <v>-1600.8907869099392</v>
      </c>
      <c r="I20" s="227">
        <v>0</v>
      </c>
      <c r="J20" s="227">
        <f t="shared" si="3"/>
        <v>1213.475216477734</v>
      </c>
      <c r="K20" s="227">
        <f t="shared" si="4"/>
        <v>1444.0034897927651</v>
      </c>
      <c r="L20" s="227">
        <v>0</v>
      </c>
      <c r="M20" s="84">
        <f>BAU!Z20+SUM(F$3:F20)</f>
        <v>188853.64971108336</v>
      </c>
      <c r="N20" s="84">
        <f>BAU!AA20+SUM(G$3:G20)</f>
        <v>305765.45741130447</v>
      </c>
      <c r="O20" s="84">
        <f>BAU!AB20+SUM(H$3:H20)</f>
        <v>0</v>
      </c>
      <c r="P20" s="84">
        <f>BAU!AC20+SUM(I$3:I20)</f>
        <v>103051.66244992355</v>
      </c>
      <c r="Q20" s="84">
        <f>BAU!AD20+SUM(J$3:J20)</f>
        <v>98348.622507445747</v>
      </c>
      <c r="R20" s="84">
        <f>BAU!AE20+SUM(K$3:K20)</f>
        <v>61641.40741041697</v>
      </c>
      <c r="S20" s="84">
        <f>BAU!AF20+SUM(L$3:L20)</f>
        <v>27215.143377468958</v>
      </c>
      <c r="T20" s="227">
        <f>BAU!AG20</f>
        <v>124447.83619687808</v>
      </c>
      <c r="U20" s="227">
        <f>BAU!AH20</f>
        <v>67055.044289198471</v>
      </c>
      <c r="V20" s="227">
        <f>BAU!AI20</f>
        <v>413326.49855931586</v>
      </c>
      <c r="W20" s="227">
        <f>BAU!AJ20</f>
        <v>30801.717555848911</v>
      </c>
      <c r="X20" s="227">
        <f>BAU!AK20</f>
        <v>28891.533521377656</v>
      </c>
      <c r="Y20" s="227">
        <f>BAU!AL20</f>
        <v>6079.7328258649213</v>
      </c>
      <c r="Z20" s="227">
        <f>BAU!AM20</f>
        <v>413326.49855931586</v>
      </c>
      <c r="AA20" s="241">
        <f>(GasEmissions*SUMPRODUCT(GasUEC_NEW,$F20:$H20)+'stock-flow model'!$B19*SUMPRODUCT(ElecUEC_NEW,$I20:$L20)/1000)</f>
        <v>-2666.650621353725</v>
      </c>
      <c r="AB20" s="85">
        <f>(GasEmissions*('Appliance Stock Profile'!$B$21*SUM(F$3:F20)+'Appliance Stock Profile'!$C$21*SUM(G$3:G20)+'Appliance Stock Profile'!$D$21*SUM(H$3:H20))+'stock-flow model'!$B19*('Appliance Stock Profile'!$F$21*SUM(J$3:J20)+'Appliance Stock Profile'!$G$21*SUM(K$3:K20))/1000)</f>
        <v>-45333.060563013329</v>
      </c>
      <c r="AC20" s="85">
        <f>(GasEmissions*SUMPRODUCT(GasUEC_NEW,M20:O20)+'stock-flow model'!$B19*SUMPRODUCT(ElecUEC_NEW,P20:S20)/1000)+(GasEmissions*SUMPRODUCT(GasUECs,T20:V20)+'stock-flow model'!$B19*SUMPRODUCT(ElecUECs,W20:Z20)/1000)</f>
        <v>755207.78404083429</v>
      </c>
      <c r="AD20" s="207">
        <f t="shared" si="5"/>
        <v>99725.851466894092</v>
      </c>
      <c r="AE20" s="207">
        <f t="shared" si="6"/>
        <v>24721.984729983989</v>
      </c>
      <c r="AF20" s="36">
        <f t="shared" si="7"/>
        <v>30801.717555848911</v>
      </c>
      <c r="AG20" s="36">
        <f t="shared" si="8"/>
        <v>-2666.6506213537286</v>
      </c>
      <c r="AH20" s="36">
        <f t="shared" si="10"/>
        <v>-45333.060563013329</v>
      </c>
      <c r="AI20" s="36">
        <f t="shared" si="9"/>
        <v>0</v>
      </c>
    </row>
    <row r="21" spans="1:35" x14ac:dyDescent="0.3">
      <c r="A21" s="37">
        <v>2038</v>
      </c>
      <c r="B21" s="86">
        <f>BAU!B21</f>
        <v>1600.8907869099392</v>
      </c>
      <c r="C21" s="84">
        <f>$B21*(MIN(BaseNCReachCode,ComplyNCReachCode)+(ComplyNCReachCode-MIN(BaseNCReachCode,ComplyNCReachCode))*TrueReachCode*('NC Reach Code Impacts'!$A21&gt;=StartReachCode))</f>
        <v>1600.8907869099392</v>
      </c>
      <c r="D21" s="84">
        <f>BAU!C21-SUM($C$3:$C21)</f>
        <v>413326.49855931633</v>
      </c>
      <c r="E21" s="84">
        <f>SUM(C$3:C21)</f>
        <v>28816.034164378896</v>
      </c>
      <c r="F21" s="227">
        <f t="shared" si="0"/>
        <v>-1213.475216477734</v>
      </c>
      <c r="G21" s="227">
        <f t="shared" si="1"/>
        <v>-1444.0034897927651</v>
      </c>
      <c r="H21" s="227">
        <f t="shared" si="2"/>
        <v>-1600.8907869099392</v>
      </c>
      <c r="I21" s="227">
        <v>0</v>
      </c>
      <c r="J21" s="227">
        <f t="shared" si="3"/>
        <v>1213.475216477734</v>
      </c>
      <c r="K21" s="227">
        <f t="shared" si="4"/>
        <v>1444.0034897927651</v>
      </c>
      <c r="L21" s="227">
        <v>0</v>
      </c>
      <c r="M21" s="84">
        <f>BAU!Z21+SUM(F$3:F21)</f>
        <v>195076.04152092728</v>
      </c>
      <c r="N21" s="84">
        <f>BAU!AA21+SUM(G$3:G21)</f>
        <v>311861.37052850431</v>
      </c>
      <c r="O21" s="84">
        <f>BAU!AB21+SUM(H$3:H21)</f>
        <v>0</v>
      </c>
      <c r="P21" s="84">
        <f>BAU!AC21+SUM(I$3:I21)</f>
        <v>106706.00107389007</v>
      </c>
      <c r="Q21" s="84">
        <f>BAU!AD21+SUM(J$3:J21)</f>
        <v>101875.61552911419</v>
      </c>
      <c r="R21" s="84">
        <f>BAU!AE21+SUM(K$3:K21)</f>
        <v>63850.271479913397</v>
      </c>
      <c r="S21" s="84">
        <f>BAU!AF21+SUM(L$3:L21)</f>
        <v>28816.034164378896</v>
      </c>
      <c r="T21" s="227">
        <f>BAU!AG21</f>
        <v>118225.44438703416</v>
      </c>
      <c r="U21" s="227">
        <f>BAU!AH21</f>
        <v>60959.131171998626</v>
      </c>
      <c r="V21" s="227">
        <f>BAU!AI21</f>
        <v>413326.49855931586</v>
      </c>
      <c r="W21" s="227">
        <f>BAU!AJ21</f>
        <v>28748.269718792319</v>
      </c>
      <c r="X21" s="227">
        <f>BAU!AK21</f>
        <v>26965.431286619147</v>
      </c>
      <c r="Y21" s="227">
        <f>BAU!AL21</f>
        <v>5471.7595432784292</v>
      </c>
      <c r="Z21" s="227">
        <f>BAU!AM21</f>
        <v>413326.49855931586</v>
      </c>
      <c r="AA21" s="241">
        <f>(GasEmissions*SUMPRODUCT(GasUEC_NEW,$F21:$H21)+'stock-flow model'!$B20*SUMPRODUCT(ElecUEC_NEW,$I21:$L21)/1000)</f>
        <v>-2666.650621353725</v>
      </c>
      <c r="AB21" s="85">
        <f>(GasEmissions*('Appliance Stock Profile'!$B$21*SUM(F$3:F21)+'Appliance Stock Profile'!$C$21*SUM(G$3:G21)+'Appliance Stock Profile'!$D$21*SUM(H$3:H21))+'stock-flow model'!$B20*('Appliance Stock Profile'!$F$21*SUM(J$3:J21)+'Appliance Stock Profile'!$G$21*SUM(K$3:K21))/1000)</f>
        <v>-47999.71118436705</v>
      </c>
      <c r="AC21" s="85">
        <f>(GasEmissions*SUMPRODUCT(GasUEC_NEW,M21:O21)+'stock-flow model'!$B20*SUMPRODUCT(ElecUEC_NEW,P21:S21)/1000)+(GasEmissions*SUMPRODUCT(GasUECs,T21:V21)+'stock-flow model'!$B20*SUMPRODUCT(ElecUECs,W21:Z21)/1000)</f>
        <v>750358.12357736216</v>
      </c>
      <c r="AD21" s="207">
        <f t="shared" si="5"/>
        <v>94948.934211520274</v>
      </c>
      <c r="AE21" s="207">
        <f t="shared" si="6"/>
        <v>23276.510175513889</v>
      </c>
      <c r="AF21" s="36">
        <f t="shared" si="7"/>
        <v>28748.269718792319</v>
      </c>
      <c r="AG21" s="36">
        <f t="shared" si="8"/>
        <v>-2666.6506213537214</v>
      </c>
      <c r="AH21" s="36">
        <f t="shared" si="10"/>
        <v>-47999.71118436705</v>
      </c>
      <c r="AI21" s="36">
        <f t="shared" si="9"/>
        <v>0</v>
      </c>
    </row>
    <row r="22" spans="1:35" x14ac:dyDescent="0.3">
      <c r="A22" s="37">
        <v>2039</v>
      </c>
      <c r="B22" s="86">
        <f>BAU!B22</f>
        <v>1600.8907869099392</v>
      </c>
      <c r="C22" s="84">
        <f>$B22*(MIN(BaseNCReachCode,ComplyNCReachCode)+(ComplyNCReachCode-MIN(BaseNCReachCode,ComplyNCReachCode))*TrueReachCode*('NC Reach Code Impacts'!$A22&gt;=StartReachCode))</f>
        <v>1600.8907869099392</v>
      </c>
      <c r="D22" s="84">
        <f>BAU!C22-SUM($C$3:$C22)</f>
        <v>413326.49855931633</v>
      </c>
      <c r="E22" s="84">
        <f>SUM(C$3:C22)</f>
        <v>30416.924951288835</v>
      </c>
      <c r="F22" s="227">
        <f t="shared" si="0"/>
        <v>-1213.475216477734</v>
      </c>
      <c r="G22" s="227">
        <f t="shared" si="1"/>
        <v>-1444.0034897927651</v>
      </c>
      <c r="H22" s="227">
        <f t="shared" si="2"/>
        <v>-1600.8907869099392</v>
      </c>
      <c r="I22" s="227">
        <v>0</v>
      </c>
      <c r="J22" s="227">
        <f t="shared" si="3"/>
        <v>1213.475216477734</v>
      </c>
      <c r="K22" s="227">
        <f t="shared" si="4"/>
        <v>1444.0034897927651</v>
      </c>
      <c r="L22" s="227">
        <v>0</v>
      </c>
      <c r="M22" s="84">
        <f>BAU!Z22+SUM(F$3:F22)</f>
        <v>200987.31374027897</v>
      </c>
      <c r="N22" s="84">
        <f>BAU!AA22+SUM(G$3:G22)</f>
        <v>317403.10972595867</v>
      </c>
      <c r="O22" s="84">
        <f>BAU!AB22+SUM(H$3:H22)</f>
        <v>0</v>
      </c>
      <c r="P22" s="84">
        <f>BAU!AC22+SUM(I$3:I22)</f>
        <v>110223.44317538616</v>
      </c>
      <c r="Q22" s="84">
        <f>BAU!AD22+SUM(J$3:J22)</f>
        <v>105274.20173513207</v>
      </c>
      <c r="R22" s="84">
        <f>BAU!AE22+SUM(K$3:K22)</f>
        <v>65998.338221151178</v>
      </c>
      <c r="S22" s="84">
        <f>BAU!AF22+SUM(L$3:L22)</f>
        <v>30416.924951288835</v>
      </c>
      <c r="T22" s="227">
        <f>BAU!AG22</f>
        <v>112314.17216768247</v>
      </c>
      <c r="U22" s="227">
        <f>BAU!AH22</f>
        <v>55417.391974544211</v>
      </c>
      <c r="V22" s="227">
        <f>BAU!AI22</f>
        <v>413326.49855931586</v>
      </c>
      <c r="W22" s="227">
        <f>BAU!AJ22</f>
        <v>26831.718404206171</v>
      </c>
      <c r="X22" s="227">
        <f>BAU!AK22</f>
        <v>25167.735867511205</v>
      </c>
      <c r="Y22" s="227">
        <f>BAU!AL22</f>
        <v>4924.5835889505834</v>
      </c>
      <c r="Z22" s="227">
        <f>BAU!AM22</f>
        <v>413326.49855931586</v>
      </c>
      <c r="AA22" s="241">
        <f>(GasEmissions*SUMPRODUCT(GasUEC_NEW,$F22:$H22)+'stock-flow model'!$B21*SUMPRODUCT(ElecUEC_NEW,$I22:$L22)/1000)</f>
        <v>-2666.650621353725</v>
      </c>
      <c r="AB22" s="85">
        <f>(GasEmissions*('Appliance Stock Profile'!$B$21*SUM(F$3:F22)+'Appliance Stock Profile'!$C$21*SUM(G$3:G22)+'Appliance Stock Profile'!$D$21*SUM(H$3:H22))+'stock-flow model'!$B21*('Appliance Stock Profile'!$F$21*SUM(J$3:J22)+'Appliance Stock Profile'!$G$21*SUM(K$3:K22))/1000)</f>
        <v>-50666.361805720786</v>
      </c>
      <c r="AC22" s="85">
        <f>(GasEmissions*SUMPRODUCT(GasUEC_NEW,M22:O22)+'stock-flow model'!$B21*SUMPRODUCT(ElecUEC_NEW,P22:S22)/1000)+(GasEmissions*SUMPRODUCT(GasUECs,T22:V22)+'stock-flow model'!$B21*SUMPRODUCT(ElecUECs,W22:Z22)/1000)</f>
        <v>745888.56189460435</v>
      </c>
      <c r="AD22" s="207">
        <f t="shared" si="5"/>
        <v>90407.03735242688</v>
      </c>
      <c r="AE22" s="207">
        <f t="shared" si="6"/>
        <v>21907.134815255587</v>
      </c>
      <c r="AF22" s="36">
        <f t="shared" si="7"/>
        <v>26831.718404206171</v>
      </c>
      <c r="AG22" s="36">
        <f t="shared" si="8"/>
        <v>-2666.6506213537359</v>
      </c>
      <c r="AH22" s="36">
        <f t="shared" si="10"/>
        <v>-50666.361805720786</v>
      </c>
      <c r="AI22" s="36">
        <f t="shared" si="9"/>
        <v>0</v>
      </c>
    </row>
    <row r="23" spans="1:35" x14ac:dyDescent="0.3">
      <c r="A23" s="37">
        <v>2040</v>
      </c>
      <c r="B23" s="86">
        <f>BAU!B23</f>
        <v>1600.8907869099392</v>
      </c>
      <c r="C23" s="84">
        <f>$B23*(MIN(BaseNCReachCode,ComplyNCReachCode)+(ComplyNCReachCode-MIN(BaseNCReachCode,ComplyNCReachCode))*TrueReachCode*('NC Reach Code Impacts'!$A23&gt;=StartReachCode))</f>
        <v>1600.8907869099392</v>
      </c>
      <c r="D23" s="84">
        <f>BAU!C23-SUM($C$3:$C23)</f>
        <v>413326.49855931639</v>
      </c>
      <c r="E23" s="84">
        <f>SUM(C$3:C23)</f>
        <v>32017.815738198773</v>
      </c>
      <c r="F23" s="227">
        <f t="shared" si="0"/>
        <v>-1213.475216477734</v>
      </c>
      <c r="G23" s="227">
        <f t="shared" si="1"/>
        <v>-1444.0034897927651</v>
      </c>
      <c r="H23" s="227">
        <f t="shared" si="2"/>
        <v>-1600.8907869099392</v>
      </c>
      <c r="I23" s="227">
        <v>0</v>
      </c>
      <c r="J23" s="227">
        <f t="shared" si="3"/>
        <v>1213.475216477734</v>
      </c>
      <c r="K23" s="227">
        <f t="shared" si="4"/>
        <v>1444.0034897927651</v>
      </c>
      <c r="L23" s="227">
        <v>0</v>
      </c>
      <c r="M23" s="84">
        <f>BAU!Z23+SUM(F$3:F23)</f>
        <v>206603.0223486631</v>
      </c>
      <c r="N23" s="84">
        <f>BAU!AA23+SUM(G$3:G23)</f>
        <v>322441.05445091729</v>
      </c>
      <c r="O23" s="84">
        <f>BAU!AB23+SUM(H$3:H23)</f>
        <v>0</v>
      </c>
      <c r="P23" s="84">
        <f>BAU!AC23+SUM(I$3:I23)</f>
        <v>113613.11518924317</v>
      </c>
      <c r="Q23" s="84">
        <f>BAU!AD23+SUM(J$3:J23)</f>
        <v>108552.94157987609</v>
      </c>
      <c r="R23" s="84">
        <f>BAU!AE23+SUM(K$3:K23)</f>
        <v>68091.687366956176</v>
      </c>
      <c r="S23" s="84">
        <f>BAU!AF23+SUM(L$3:L23)</f>
        <v>32017.815738198773</v>
      </c>
      <c r="T23" s="227">
        <f>BAU!AG23</f>
        <v>106698.46355929834</v>
      </c>
      <c r="U23" s="227">
        <f>BAU!AH23</f>
        <v>50379.447249585646</v>
      </c>
      <c r="V23" s="227">
        <f>BAU!AI23</f>
        <v>413326.49855931586</v>
      </c>
      <c r="W23" s="227">
        <f>BAU!AJ23</f>
        <v>25042.937177259097</v>
      </c>
      <c r="X23" s="227">
        <f>BAU!AK23</f>
        <v>23489.886809677118</v>
      </c>
      <c r="Y23" s="227">
        <f>BAU!AL23</f>
        <v>4432.1252300555279</v>
      </c>
      <c r="Z23" s="227">
        <f>BAU!AM23</f>
        <v>413326.49855931586</v>
      </c>
      <c r="AA23" s="241">
        <f>(GasEmissions*SUMPRODUCT(GasUEC_NEW,$F23:$H23)+'stock-flow model'!$B22*SUMPRODUCT(ElecUEC_NEW,$I23:$L23)/1000)</f>
        <v>-2666.650621353725</v>
      </c>
      <c r="AB23" s="85">
        <f>(GasEmissions*('Appliance Stock Profile'!$B$21*SUM(F$3:F23)+'Appliance Stock Profile'!$C$21*SUM(G$3:G23)+'Appliance Stock Profile'!$D$21*SUM(H$3:H23))+'stock-flow model'!$B22*('Appliance Stock Profile'!$F$21*SUM(J$3:J23)+'Appliance Stock Profile'!$G$21*SUM(K$3:K23))/1000)</f>
        <v>-53333.012427074507</v>
      </c>
      <c r="AC23" s="85">
        <f>(GasEmissions*SUMPRODUCT(GasUEC_NEW,M23:O23)+'stock-flow model'!$B22*SUMPRODUCT(ElecUEC_NEW,P23:S23)/1000)+(GasEmissions*SUMPRODUCT(GasUECs,T23:V23)+'stock-flow model'!$B22*SUMPRODUCT(ElecUECs,W23:Z23)/1000)</f>
        <v>741767.58353011275</v>
      </c>
      <c r="AD23" s="207">
        <f t="shared" si="5"/>
        <v>86087.651612094778</v>
      </c>
      <c r="AE23" s="207">
        <f t="shared" si="6"/>
        <v>20610.811947203569</v>
      </c>
      <c r="AF23" s="36">
        <f t="shared" si="7"/>
        <v>25042.937177259097</v>
      </c>
      <c r="AG23" s="36">
        <f t="shared" si="8"/>
        <v>-2666.6506213537214</v>
      </c>
      <c r="AH23" s="36">
        <f t="shared" si="10"/>
        <v>-53333.012427074507</v>
      </c>
      <c r="AI23" s="36">
        <f t="shared" si="9"/>
        <v>0</v>
      </c>
    </row>
    <row r="24" spans="1:35" x14ac:dyDescent="0.3">
      <c r="A24" s="37">
        <v>2041</v>
      </c>
      <c r="B24" s="86">
        <f>BAU!B24</f>
        <v>1600.8907869099392</v>
      </c>
      <c r="C24" s="84">
        <f>$B24*(MIN(BaseNCReachCode,ComplyNCReachCode)+(ComplyNCReachCode-MIN(BaseNCReachCode,ComplyNCReachCode))*TrueReachCode*('NC Reach Code Impacts'!$A24&gt;=StartReachCode))</f>
        <v>1600.8907869099392</v>
      </c>
      <c r="D24" s="84">
        <f>BAU!C24-SUM($C$3:$C24)</f>
        <v>413326.49855931639</v>
      </c>
      <c r="E24" s="84">
        <f>SUM(C$3:C24)</f>
        <v>33618.706525108712</v>
      </c>
      <c r="F24" s="227">
        <f t="shared" si="0"/>
        <v>-1213.475216477734</v>
      </c>
      <c r="G24" s="227">
        <f t="shared" si="1"/>
        <v>-1444.0034897927651</v>
      </c>
      <c r="H24" s="227">
        <f t="shared" si="2"/>
        <v>-1600.8907869099392</v>
      </c>
      <c r="I24" s="227">
        <v>0</v>
      </c>
      <c r="J24" s="227">
        <f t="shared" si="3"/>
        <v>1213.475216477734</v>
      </c>
      <c r="K24" s="227">
        <f t="shared" si="4"/>
        <v>1444.0034897927651</v>
      </c>
      <c r="L24" s="227">
        <v>0</v>
      </c>
      <c r="M24" s="84">
        <f>BAU!Z24+SUM(F$3:F24)</f>
        <v>211937.94552662803</v>
      </c>
      <c r="N24" s="84">
        <f>BAU!AA24+SUM(G$3:G24)</f>
        <v>327021.0042008796</v>
      </c>
      <c r="O24" s="84">
        <f>BAU!AB24+SUM(H$3:H24)</f>
        <v>0</v>
      </c>
      <c r="P24" s="84">
        <f>BAU!AC24+SUM(I$3:I24)</f>
        <v>116883.53512130372</v>
      </c>
      <c r="Q24" s="84">
        <f>BAU!AD24+SUM(J$3:J24)</f>
        <v>111719.82482076451</v>
      </c>
      <c r="R24" s="84">
        <f>BAU!AE24+SUM(K$3:K24)</f>
        <v>70135.790676871664</v>
      </c>
      <c r="S24" s="84">
        <f>BAU!AF24+SUM(L$3:L24)</f>
        <v>33618.706525108712</v>
      </c>
      <c r="T24" s="227">
        <f>BAU!AG24</f>
        <v>101363.54038133341</v>
      </c>
      <c r="U24" s="227">
        <f>BAU!AH24</f>
        <v>45799.497499623336</v>
      </c>
      <c r="V24" s="227">
        <f>BAU!AI24</f>
        <v>413326.49855931586</v>
      </c>
      <c r="W24" s="227">
        <f>BAU!AJ24</f>
        <v>23373.408032108491</v>
      </c>
      <c r="X24" s="227">
        <f>BAU!AK24</f>
        <v>21923.894355698649</v>
      </c>
      <c r="Y24" s="227">
        <f>BAU!AL24</f>
        <v>3988.9127070499744</v>
      </c>
      <c r="Z24" s="227">
        <f>BAU!AM24</f>
        <v>413326.49855931586</v>
      </c>
      <c r="AA24" s="241">
        <f>(GasEmissions*SUMPRODUCT(GasUEC_NEW,$F24:$H24)+'stock-flow model'!$B23*SUMPRODUCT(ElecUEC_NEW,$I24:$L24)/1000)</f>
        <v>-2666.650621353725</v>
      </c>
      <c r="AB24" s="85">
        <f>(GasEmissions*('Appliance Stock Profile'!$B$21*SUM(F$3:F24)+'Appliance Stock Profile'!$C$21*SUM(G$3:G24)+'Appliance Stock Profile'!$D$21*SUM(H$3:H24))+'stock-flow model'!$B23*('Appliance Stock Profile'!$F$21*SUM(J$3:J24)+'Appliance Stock Profile'!$G$21*SUM(K$3:K24))/1000)</f>
        <v>-55999.663048428236</v>
      </c>
      <c r="AC24" s="85">
        <f>(GasEmissions*SUMPRODUCT(GasUEC_NEW,M24:O24)+'stock-flow model'!$B23*SUMPRODUCT(ElecUEC_NEW,P24:S24)/1000)+(GasEmissions*SUMPRODUCT(GasUECs,T24:V24)+'stock-flow model'!$B23*SUMPRODUCT(ElecUECs,W24:Z24)/1000)</f>
        <v>737966.38611487125</v>
      </c>
      <c r="AD24" s="207">
        <f t="shared" si="5"/>
        <v>81979.045056274903</v>
      </c>
      <c r="AE24" s="207">
        <f t="shared" si="6"/>
        <v>19384.495325058517</v>
      </c>
      <c r="AF24" s="36">
        <f t="shared" si="7"/>
        <v>23373.408032108491</v>
      </c>
      <c r="AG24" s="36">
        <f t="shared" si="8"/>
        <v>-2666.6506213537286</v>
      </c>
      <c r="AH24" s="36">
        <f t="shared" si="10"/>
        <v>-55999.663048428236</v>
      </c>
      <c r="AI24" s="36">
        <f t="shared" si="9"/>
        <v>0</v>
      </c>
    </row>
    <row r="25" spans="1:35" x14ac:dyDescent="0.3">
      <c r="A25" s="37">
        <v>2042</v>
      </c>
      <c r="B25" s="86">
        <f>BAU!B25</f>
        <v>1600.8907869099392</v>
      </c>
      <c r="C25" s="84">
        <f>$B25*(MIN(BaseNCReachCode,ComplyNCReachCode)+(ComplyNCReachCode-MIN(BaseNCReachCode,ComplyNCReachCode))*TrueReachCode*('NC Reach Code Impacts'!$A25&gt;=StartReachCode))</f>
        <v>1600.8907869099392</v>
      </c>
      <c r="D25" s="84">
        <f>BAU!C25-SUM($C$3:$C25)</f>
        <v>413326.49855931639</v>
      </c>
      <c r="E25" s="84">
        <f>SUM(C$3:C25)</f>
        <v>35219.597312018654</v>
      </c>
      <c r="F25" s="227">
        <f t="shared" si="0"/>
        <v>-1213.475216477734</v>
      </c>
      <c r="G25" s="227">
        <f t="shared" si="1"/>
        <v>-1444.0034897927651</v>
      </c>
      <c r="H25" s="227">
        <f t="shared" si="2"/>
        <v>-1600.8907869099392</v>
      </c>
      <c r="I25" s="227">
        <v>0</v>
      </c>
      <c r="J25" s="227">
        <f t="shared" si="3"/>
        <v>1213.475216477734</v>
      </c>
      <c r="K25" s="227">
        <f t="shared" si="4"/>
        <v>1444.0034897927651</v>
      </c>
      <c r="L25" s="227">
        <v>0</v>
      </c>
      <c r="M25" s="84">
        <f>BAU!Z25+SUM(F$3:F25)</f>
        <v>217006.1225456947</v>
      </c>
      <c r="N25" s="84">
        <f>BAU!AA25+SUM(G$3:G25)</f>
        <v>331184.59488266351</v>
      </c>
      <c r="O25" s="84">
        <f>BAU!AB25+SUM(H$3:H25)</f>
        <v>0</v>
      </c>
      <c r="P25" s="84">
        <f>BAU!AC25+SUM(I$3:I25)</f>
        <v>120042.65311035422</v>
      </c>
      <c r="Q25" s="84">
        <f>BAU!AD25+SUM(J$3:J25)</f>
        <v>114782.30856472102</v>
      </c>
      <c r="R25" s="84">
        <f>BAU!AE25+SUM(K$3:K25)</f>
        <v>72135.572734486603</v>
      </c>
      <c r="S25" s="84">
        <f>BAU!AF25+SUM(L$3:L25)</f>
        <v>35219.597312018654</v>
      </c>
      <c r="T25" s="227">
        <f>BAU!AG25</f>
        <v>96295.36336226674</v>
      </c>
      <c r="U25" s="227">
        <f>BAU!AH25</f>
        <v>41635.906817839423</v>
      </c>
      <c r="V25" s="227">
        <f>BAU!AI25</f>
        <v>413326.49855931586</v>
      </c>
      <c r="W25" s="227">
        <f>BAU!AJ25</f>
        <v>21815.180829967925</v>
      </c>
      <c r="X25" s="227">
        <f>BAU!AK25</f>
        <v>20462.301398652067</v>
      </c>
      <c r="Y25" s="227">
        <f>BAU!AL25</f>
        <v>3590.0214363449777</v>
      </c>
      <c r="Z25" s="227">
        <f>BAU!AM25</f>
        <v>413326.49855931586</v>
      </c>
      <c r="AA25" s="241">
        <f>(GasEmissions*SUMPRODUCT(GasUEC_NEW,$F25:$H25)+'stock-flow model'!$B24*SUMPRODUCT(ElecUEC_NEW,$I25:$L25)/1000)</f>
        <v>-2666.650621353725</v>
      </c>
      <c r="AB25" s="85">
        <f>(GasEmissions*('Appliance Stock Profile'!$B$21*SUM(F$3:F25)+'Appliance Stock Profile'!$C$21*SUM(G$3:G25)+'Appliance Stock Profile'!$D$21*SUM(H$3:H25))+'stock-flow model'!$B24*('Appliance Stock Profile'!$F$21*SUM(J$3:J25)+'Appliance Stock Profile'!$G$21*SUM(K$3:K25))/1000)</f>
        <v>-58666.313669781957</v>
      </c>
      <c r="AC25" s="85">
        <f>(GasEmissions*SUMPRODUCT(GasUEC_NEW,M25:O25)+'stock-flow model'!$B24*SUMPRODUCT(ElecUEC_NEW,P25:S25)/1000)+(GasEmissions*SUMPRODUCT(GasUECs,T25:V25)+'stock-flow model'!$B24*SUMPRODUCT(ElecUECs,W25:Z25)/1000)</f>
        <v>734458.64132586948</v>
      </c>
      <c r="AD25" s="207">
        <f t="shared" si="5"/>
        <v>78070.203968643793</v>
      </c>
      <c r="AE25" s="207">
        <f t="shared" si="6"/>
        <v>18225.159393622947</v>
      </c>
      <c r="AF25" s="36">
        <f t="shared" si="7"/>
        <v>21815.180829967925</v>
      </c>
      <c r="AG25" s="36">
        <f t="shared" si="8"/>
        <v>-2666.6506213537214</v>
      </c>
      <c r="AH25" s="36">
        <f t="shared" si="10"/>
        <v>-58666.313669781957</v>
      </c>
      <c r="AI25" s="36">
        <f t="shared" si="9"/>
        <v>0</v>
      </c>
    </row>
    <row r="26" spans="1:35" x14ac:dyDescent="0.3">
      <c r="A26" s="37">
        <v>2043</v>
      </c>
      <c r="B26" s="86">
        <f>BAU!B26</f>
        <v>1600.8907869099392</v>
      </c>
      <c r="C26" s="84">
        <f>$B26*(MIN(BaseNCReachCode,ComplyNCReachCode)+(ComplyNCReachCode-MIN(BaseNCReachCode,ComplyNCReachCode))*TrueReachCode*('NC Reach Code Impacts'!$A26&gt;=StartReachCode))</f>
        <v>1600.8907869099392</v>
      </c>
      <c r="D26" s="84">
        <f>BAU!C26-SUM($C$3:$C26)</f>
        <v>413326.49855931645</v>
      </c>
      <c r="E26" s="84">
        <f>SUM(C$3:C26)</f>
        <v>36820.488098928596</v>
      </c>
      <c r="F26" s="227">
        <f t="shared" si="0"/>
        <v>-1213.475216477734</v>
      </c>
      <c r="G26" s="227">
        <f t="shared" si="1"/>
        <v>-1444.0034897927651</v>
      </c>
      <c r="H26" s="227">
        <f t="shared" si="2"/>
        <v>-1600.8907869099392</v>
      </c>
      <c r="I26" s="227">
        <v>0</v>
      </c>
      <c r="J26" s="227">
        <f t="shared" si="3"/>
        <v>1213.475216477734</v>
      </c>
      <c r="K26" s="227">
        <f t="shared" si="4"/>
        <v>1444.0034897927651</v>
      </c>
      <c r="L26" s="227">
        <v>0</v>
      </c>
      <c r="M26" s="84">
        <f>BAU!Z26+SUM(F$3:F26)</f>
        <v>221820.89071380801</v>
      </c>
      <c r="N26" s="84">
        <f>BAU!AA26+SUM(G$3:G26)</f>
        <v>334969.67732064892</v>
      </c>
      <c r="O26" s="84">
        <f>BAU!AB26+SUM(H$3:H26)</f>
        <v>0</v>
      </c>
      <c r="P26" s="84">
        <f>BAU!AC26+SUM(I$3:I26)</f>
        <v>123097.88928592869</v>
      </c>
      <c r="Q26" s="84">
        <f>BAU!AD26+SUM(J$3:J26)</f>
        <v>117747.35277820776</v>
      </c>
      <c r="R26" s="84">
        <f>BAU!AE26+SUM(K$3:K26)</f>
        <v>74095.46566503105</v>
      </c>
      <c r="S26" s="84">
        <f>BAU!AF26+SUM(L$3:L26)</f>
        <v>36820.488098928596</v>
      </c>
      <c r="T26" s="227">
        <f>BAU!AG26</f>
        <v>91480.5951941534</v>
      </c>
      <c r="U26" s="227">
        <f>BAU!AH26</f>
        <v>37850.824379854021</v>
      </c>
      <c r="V26" s="227">
        <f>BAU!AI26</f>
        <v>413326.49855931586</v>
      </c>
      <c r="W26" s="227">
        <f>BAU!AJ26</f>
        <v>20360.835441303396</v>
      </c>
      <c r="X26" s="227">
        <f>BAU!AK26</f>
        <v>19098.147972075269</v>
      </c>
      <c r="Y26" s="227">
        <f>BAU!AL26</f>
        <v>3231.0192927104799</v>
      </c>
      <c r="Z26" s="227">
        <f>BAU!AM26</f>
        <v>413326.49855931586</v>
      </c>
      <c r="AA26" s="241">
        <f>(GasEmissions*SUMPRODUCT(GasUEC_NEW,$F26:$H26)+'stock-flow model'!$B25*SUMPRODUCT(ElecUEC_NEW,$I26:$L26)/1000)</f>
        <v>-2666.650621353725</v>
      </c>
      <c r="AB26" s="85">
        <f>(GasEmissions*('Appliance Stock Profile'!$B$21*SUM(F$3:F26)+'Appliance Stock Profile'!$C$21*SUM(G$3:G26)+'Appliance Stock Profile'!$D$21*SUM(H$3:H26))+'stock-flow model'!$B25*('Appliance Stock Profile'!$F$21*SUM(J$3:J26)+'Appliance Stock Profile'!$G$21*SUM(K$3:K26))/1000)</f>
        <v>-61332.964291135693</v>
      </c>
      <c r="AC26" s="85">
        <f>(GasEmissions*SUMPRODUCT(GasUEC_NEW,M26:O26)+'stock-flow model'!$B25*SUMPRODUCT(ElecUEC_NEW,P26:S26)/1000)+(GasEmissions*SUMPRODUCT(GasUECs,T26:V26)+'stock-flow model'!$B25*SUMPRODUCT(ElecUECs,W26:Z26)/1000)</f>
        <v>731220.27719038865</v>
      </c>
      <c r="AD26" s="207">
        <f t="shared" si="5"/>
        <v>74350.779045560485</v>
      </c>
      <c r="AE26" s="207">
        <f t="shared" si="6"/>
        <v>17129.816148592916</v>
      </c>
      <c r="AF26" s="36">
        <f t="shared" si="7"/>
        <v>20360.835441303396</v>
      </c>
      <c r="AG26" s="36">
        <f t="shared" si="8"/>
        <v>-2666.6506213537359</v>
      </c>
      <c r="AH26" s="36">
        <f t="shared" si="10"/>
        <v>-61332.964291135693</v>
      </c>
      <c r="AI26" s="36">
        <f t="shared" si="9"/>
        <v>0</v>
      </c>
    </row>
    <row r="27" spans="1:35" x14ac:dyDescent="0.3">
      <c r="A27" s="37">
        <v>2044</v>
      </c>
      <c r="B27" s="86">
        <f>BAU!B27</f>
        <v>1600.8907869099392</v>
      </c>
      <c r="C27" s="84">
        <f>$B27*(MIN(BaseNCReachCode,ComplyNCReachCode)+(ComplyNCReachCode-MIN(BaseNCReachCode,ComplyNCReachCode))*TrueReachCode*('NC Reach Code Impacts'!$A27&gt;=StartReachCode))</f>
        <v>1600.8907869099392</v>
      </c>
      <c r="D27" s="84">
        <f>BAU!C27-SUM($C$3:$C27)</f>
        <v>413326.49855931645</v>
      </c>
      <c r="E27" s="84">
        <f>SUM(C$3:C27)</f>
        <v>38421.378885838538</v>
      </c>
      <c r="F27" s="227">
        <f t="shared" si="0"/>
        <v>-1213.475216477734</v>
      </c>
      <c r="G27" s="227">
        <f t="shared" si="1"/>
        <v>-1444.0034897927651</v>
      </c>
      <c r="H27" s="227">
        <f t="shared" si="2"/>
        <v>-1600.8907869099392</v>
      </c>
      <c r="I27" s="227">
        <v>0</v>
      </c>
      <c r="J27" s="227">
        <f t="shared" si="3"/>
        <v>1213.475216477734</v>
      </c>
      <c r="K27" s="227">
        <f t="shared" si="4"/>
        <v>1444.0034897927651</v>
      </c>
      <c r="L27" s="227">
        <v>0</v>
      </c>
      <c r="M27" s="84">
        <f>BAU!Z27+SUM(F$3:F27)</f>
        <v>226394.92047351567</v>
      </c>
      <c r="N27" s="84">
        <f>BAU!AA27+SUM(G$3:G27)</f>
        <v>338410.66135518107</v>
      </c>
      <c r="O27" s="84">
        <f>BAU!AB27+SUM(H$3:H27)</f>
        <v>0</v>
      </c>
      <c r="P27" s="84">
        <f>BAU!AC27+SUM(I$3:I27)</f>
        <v>126056.16910225886</v>
      </c>
      <c r="Q27" s="84">
        <f>BAU!AD27+SUM(J$3:J27)</f>
        <v>120621.45342992272</v>
      </c>
      <c r="R27" s="84">
        <f>BAU!AE27+SUM(K$3:K27)</f>
        <v>76019.458381212025</v>
      </c>
      <c r="S27" s="84">
        <f>BAU!AF27+SUM(L$3:L27)</f>
        <v>38421.378885838538</v>
      </c>
      <c r="T27" s="227">
        <f>BAU!AG27</f>
        <v>86906.565434445743</v>
      </c>
      <c r="U27" s="227">
        <f>BAU!AH27</f>
        <v>34409.840345321863</v>
      </c>
      <c r="V27" s="227">
        <f>BAU!AI27</f>
        <v>413326.49855931586</v>
      </c>
      <c r="W27" s="227">
        <f>BAU!AJ27</f>
        <v>19003.446411883167</v>
      </c>
      <c r="X27" s="227">
        <f>BAU!AK27</f>
        <v>17824.938107270253</v>
      </c>
      <c r="Y27" s="227">
        <f>BAU!AL27</f>
        <v>2907.9173634394319</v>
      </c>
      <c r="Z27" s="227">
        <f>BAU!AM27</f>
        <v>413326.49855931586</v>
      </c>
      <c r="AA27" s="241">
        <f>(GasEmissions*SUMPRODUCT(GasUEC_NEW,$F27:$H27)+'stock-flow model'!$B26*SUMPRODUCT(ElecUEC_NEW,$I27:$L27)/1000)</f>
        <v>-2666.650621353725</v>
      </c>
      <c r="AB27" s="85">
        <f>(GasEmissions*('Appliance Stock Profile'!$B$21*SUM(F$3:F27)+'Appliance Stock Profile'!$C$21*SUM(G$3:G27)+'Appliance Stock Profile'!$D$21*SUM(H$3:H27))+'stock-flow model'!$B26*('Appliance Stock Profile'!$F$21*SUM(J$3:J27)+'Appliance Stock Profile'!$G$21*SUM(K$3:K27))/1000)</f>
        <v>-63999.6149124894</v>
      </c>
      <c r="AC27" s="85">
        <f>(GasEmissions*SUMPRODUCT(GasUEC_NEW,M27:O27)+'stock-flow model'!$B26*SUMPRODUCT(ElecUEC_NEW,P27:S27)/1000)+(GasEmissions*SUMPRODUCT(GasUECs,T27:V27)+'stock-flow model'!$B26*SUMPRODUCT(ElecUECs,W27:Z27)/1000)</f>
        <v>728229.27981992788</v>
      </c>
      <c r="AD27" s="207">
        <f t="shared" si="5"/>
        <v>70811.036386002001</v>
      </c>
      <c r="AE27" s="207">
        <f t="shared" si="6"/>
        <v>16095.529048443736</v>
      </c>
      <c r="AF27" s="36">
        <f t="shared" si="7"/>
        <v>19003.446411883167</v>
      </c>
      <c r="AG27" s="36">
        <f t="shared" si="8"/>
        <v>-2666.6506213537068</v>
      </c>
      <c r="AH27" s="36">
        <f t="shared" si="10"/>
        <v>-63999.6149124894</v>
      </c>
      <c r="AI27" s="36">
        <f t="shared" si="9"/>
        <v>0</v>
      </c>
    </row>
    <row r="28" spans="1:35" x14ac:dyDescent="0.3">
      <c r="A28" s="38">
        <v>2045</v>
      </c>
      <c r="B28" s="86">
        <f>BAU!B28</f>
        <v>1600.8907869099392</v>
      </c>
      <c r="C28" s="84">
        <f>$B28*(MIN(BaseNCReachCode,ComplyNCReachCode)+(ComplyNCReachCode-MIN(BaseNCReachCode,ComplyNCReachCode))*TrueReachCode*('NC Reach Code Impacts'!$A28&gt;=StartReachCode))</f>
        <v>1600.8907869099392</v>
      </c>
      <c r="D28" s="84">
        <f>BAU!C28-SUM($C$3:$C28)</f>
        <v>413326.4985593165</v>
      </c>
      <c r="E28" s="84">
        <f>SUM(C$3:C28)</f>
        <v>40022.26967274848</v>
      </c>
      <c r="F28" s="227">
        <f t="shared" si="0"/>
        <v>-1213.475216477734</v>
      </c>
      <c r="G28" s="227">
        <f t="shared" si="1"/>
        <v>-1444.0034897927651</v>
      </c>
      <c r="H28" s="227">
        <f t="shared" si="2"/>
        <v>-1600.8907869099392</v>
      </c>
      <c r="I28" s="227">
        <v>0</v>
      </c>
      <c r="J28" s="227">
        <f t="shared" si="3"/>
        <v>1213.475216477734</v>
      </c>
      <c r="K28" s="227">
        <f t="shared" si="4"/>
        <v>1444.0034897927651</v>
      </c>
      <c r="L28" s="227">
        <v>0</v>
      </c>
      <c r="M28" s="84">
        <f>BAU!Z28+SUM(F$3:F28)</f>
        <v>230740.24874523794</v>
      </c>
      <c r="N28" s="84">
        <f>BAU!AA28+SUM(G$3:G28)</f>
        <v>341538.82865930127</v>
      </c>
      <c r="O28" s="84">
        <f>BAU!AB28+SUM(H$3:H28)</f>
        <v>0</v>
      </c>
      <c r="P28" s="84">
        <f>BAU!AC28+SUM(I$3:I28)</f>
        <v>128923.95631662768</v>
      </c>
      <c r="Q28" s="84">
        <f>BAU!AD28+SUM(J$3:J28)</f>
        <v>123410.67342398403</v>
      </c>
      <c r="R28" s="84">
        <f>BAU!AE28+SUM(K$3:K28)</f>
        <v>77911.140904465909</v>
      </c>
      <c r="S28" s="84">
        <f>BAU!AF28+SUM(L$3:L28)</f>
        <v>40022.26967274848</v>
      </c>
      <c r="T28" s="227">
        <f>BAU!AG28</f>
        <v>82561.237162723468</v>
      </c>
      <c r="U28" s="227">
        <f>BAU!AH28</f>
        <v>31281.67304120172</v>
      </c>
      <c r="V28" s="227">
        <f>BAU!AI28</f>
        <v>413326.49855931586</v>
      </c>
      <c r="W28" s="227">
        <f>BAU!AJ28</f>
        <v>17736.549984424288</v>
      </c>
      <c r="X28" s="227">
        <f>BAU!AK28</f>
        <v>16636.608900118896</v>
      </c>
      <c r="Y28" s="227">
        <f>BAU!AL28</f>
        <v>2617.1256270954909</v>
      </c>
      <c r="Z28" s="227">
        <f>BAU!AM28</f>
        <v>413326.49855931586</v>
      </c>
      <c r="AA28" s="241">
        <f>(GasEmissions*SUMPRODUCT(GasUEC_NEW,$F28:$H28)+'stock-flow model'!$B27*SUMPRODUCT(ElecUEC_NEW,$I28:$L28)/1000)</f>
        <v>-2666.650621353725</v>
      </c>
      <c r="AB28" s="85">
        <f>(GasEmissions*('Appliance Stock Profile'!$B$21*SUM(F$3:F28)+'Appliance Stock Profile'!$C$21*SUM(G$3:G28)+'Appliance Stock Profile'!$D$21*SUM(H$3:H28))+'stock-flow model'!$B27*('Appliance Stock Profile'!$F$21*SUM(J$3:J28)+'Appliance Stock Profile'!$G$21*SUM(K$3:K28))/1000)</f>
        <v>-66666.265533843136</v>
      </c>
      <c r="AC28" s="85">
        <f>(GasEmissions*SUMPRODUCT(GasUEC_NEW,M28:O28)+'stock-flow model'!$B27*SUMPRODUCT(ElecUEC_NEW,P28:S28)/1000)+(GasEmissions*SUMPRODUCT(GasUECs,T28:V28)+'stock-flow model'!$B27*SUMPRODUCT(ElecUECs,W28:Z28)/1000)</f>
        <v>725465.5128254866</v>
      </c>
      <c r="AD28" s="207">
        <f t="shared" si="5"/>
        <v>67441.812805394671</v>
      </c>
      <c r="AE28" s="207">
        <f t="shared" si="6"/>
        <v>15119.424357328797</v>
      </c>
      <c r="AF28" s="36">
        <f t="shared" si="7"/>
        <v>17736.549984424288</v>
      </c>
      <c r="AG28" s="36">
        <f t="shared" si="8"/>
        <v>-2666.6506213537359</v>
      </c>
      <c r="AH28" s="36">
        <f t="shared" si="10"/>
        <v>-66666.265533843136</v>
      </c>
      <c r="AI28" s="36">
        <f t="shared" si="9"/>
        <v>0</v>
      </c>
    </row>
    <row r="29" spans="1:35" x14ac:dyDescent="0.3">
      <c r="A29" s="82"/>
      <c r="B29" s="89">
        <f>SUM(B4:B28)</f>
        <v>40022.26967274848</v>
      </c>
      <c r="C29" s="89">
        <f t="shared" ref="C29:L29" si="11">SUM(C4:C28)</f>
        <v>40022.26967274848</v>
      </c>
      <c r="F29" s="89">
        <f t="shared" si="11"/>
        <v>-30336.880411943359</v>
      </c>
      <c r="G29" s="89">
        <f t="shared" si="11"/>
        <v>-36100.087244819122</v>
      </c>
      <c r="H29" s="89">
        <f t="shared" si="11"/>
        <v>-40022.26967274848</v>
      </c>
      <c r="I29" s="89">
        <f t="shared" si="11"/>
        <v>0</v>
      </c>
      <c r="J29" s="89">
        <f t="shared" si="11"/>
        <v>30336.880411943359</v>
      </c>
      <c r="K29" s="89">
        <f t="shared" si="11"/>
        <v>36100.087244819122</v>
      </c>
      <c r="L29" s="89">
        <f t="shared" si="11"/>
        <v>0</v>
      </c>
      <c r="T29" s="82"/>
      <c r="U29" s="82"/>
      <c r="V29" s="82"/>
      <c r="W29" s="82"/>
      <c r="X29" s="82"/>
      <c r="Y29" s="82"/>
      <c r="Z29" s="36"/>
      <c r="AA29" s="242">
        <f>SUM(AA4:AA28)</f>
        <v>-66020.863007591586</v>
      </c>
      <c r="AC29" s="82"/>
    </row>
  </sheetData>
  <mergeCells count="3">
    <mergeCell ref="M1:S1"/>
    <mergeCell ref="T1:Z1"/>
    <mergeCell ref="F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FDC0-C782-41F9-9CED-854C331C43E1}">
  <sheetPr codeName="Sheet5"/>
  <dimension ref="A1:U29"/>
  <sheetViews>
    <sheetView workbookViewId="0">
      <pane ySplit="1" topLeftCell="A2" activePane="bottomLeft" state="frozen"/>
      <selection activeCell="E31" sqref="E31"/>
      <selection pane="bottomLeft" activeCell="G7" sqref="G7"/>
    </sheetView>
  </sheetViews>
  <sheetFormatPr defaultRowHeight="14.4" x14ac:dyDescent="0.3"/>
  <cols>
    <col min="1" max="1" width="12.6640625" style="82" customWidth="1"/>
    <col min="2" max="2" width="18.33203125" customWidth="1"/>
    <col min="4" max="4" width="12.88671875" style="82" bestFit="1" customWidth="1"/>
    <col min="5" max="5" width="11.109375" style="82" bestFit="1" customWidth="1"/>
    <col min="6" max="11" width="11.6640625" bestFit="1" customWidth="1"/>
    <col min="12" max="12" width="8.88671875" customWidth="1"/>
    <col min="13" max="13" width="10.88671875" bestFit="1" customWidth="1"/>
    <col min="14" max="14" width="12.6640625" bestFit="1" customWidth="1"/>
  </cols>
  <sheetData>
    <row r="1" spans="1:21" ht="57.6" x14ac:dyDescent="0.3">
      <c r="A1" s="83" t="s">
        <v>110</v>
      </c>
      <c r="B1" s="80" t="s">
        <v>188</v>
      </c>
      <c r="C1" s="82"/>
      <c r="D1" s="82" t="s">
        <v>622</v>
      </c>
      <c r="E1" s="82" t="s">
        <v>621</v>
      </c>
      <c r="F1" s="77" t="s">
        <v>184</v>
      </c>
      <c r="G1" s="78" t="s">
        <v>36</v>
      </c>
      <c r="H1" s="77" t="s">
        <v>466</v>
      </c>
      <c r="I1" s="77" t="s">
        <v>467</v>
      </c>
      <c r="J1" s="78" t="s">
        <v>468</v>
      </c>
      <c r="K1" s="77" t="s">
        <v>185</v>
      </c>
      <c r="L1" s="77" t="s">
        <v>186</v>
      </c>
      <c r="M1" s="77" t="s">
        <v>187</v>
      </c>
      <c r="N1" s="13" t="s">
        <v>452</v>
      </c>
      <c r="O1" s="82"/>
      <c r="P1" s="13" t="s">
        <v>189</v>
      </c>
      <c r="Q1" s="13" t="s">
        <v>190</v>
      </c>
      <c r="R1" s="13" t="s">
        <v>191</v>
      </c>
      <c r="S1" s="13" t="s">
        <v>192</v>
      </c>
      <c r="T1" s="13" t="s">
        <v>193</v>
      </c>
      <c r="U1" s="13" t="s">
        <v>194</v>
      </c>
    </row>
    <row r="2" spans="1:21" x14ac:dyDescent="0.3">
      <c r="A2" s="236">
        <v>2020</v>
      </c>
      <c r="B2" s="160">
        <f>'Housing Stock Profile'!$D$9</f>
        <v>5.531111937658191E-2</v>
      </c>
      <c r="C2" s="82">
        <v>2020</v>
      </c>
      <c r="D2" s="73">
        <f>BAU!AP3</f>
        <v>1096122.7763067521</v>
      </c>
      <c r="E2" s="73">
        <f>BAU!AP3+'NC Reach Code Impacts'!AI3+'2-energy assessment'!BO36+'3-time of replacement'!BD27+'4-time of renovation'!BH33</f>
        <v>1096122.7763067521</v>
      </c>
      <c r="F2" s="94">
        <f>E2-SUM(G2:M2)</f>
        <v>1096122.7763067521</v>
      </c>
      <c r="G2" s="95">
        <f>-'end of flow'!B3</f>
        <v>0</v>
      </c>
      <c r="H2" s="94">
        <f>-'5-performance standards'!AM34</f>
        <v>0</v>
      </c>
      <c r="I2" s="95">
        <f>-'4-time of renovation'!BG33</f>
        <v>0</v>
      </c>
      <c r="J2" s="94">
        <f>-'3-time of replacement'!BC27</f>
        <v>0</v>
      </c>
      <c r="K2" s="94">
        <f>-'2-energy assessment'!BN36</f>
        <v>0</v>
      </c>
      <c r="L2" s="94"/>
      <c r="M2" s="94">
        <f>-'NC Reach Code Impacts'!AH3</f>
        <v>0</v>
      </c>
      <c r="N2" s="73">
        <f>E2</f>
        <v>1096122.7763067521</v>
      </c>
      <c r="O2" s="82"/>
      <c r="P2" s="36">
        <f>F2-'NC Reach Code Impacts'!AC3</f>
        <v>0</v>
      </c>
      <c r="Q2" s="36">
        <f>F2-'2-energy assessment'!BG36</f>
        <v>0</v>
      </c>
      <c r="R2" s="36">
        <f>F2-'3-time of replacement'!AW27</f>
        <v>0</v>
      </c>
      <c r="S2" s="36">
        <f>F2-'4-time of renovation'!BA33</f>
        <v>0</v>
      </c>
      <c r="T2" s="36">
        <f>F2-'5-performance standards'!AN34</f>
        <v>0</v>
      </c>
      <c r="U2" s="36">
        <f>F2-'end of flow'!C3</f>
        <v>0</v>
      </c>
    </row>
    <row r="3" spans="1:21" x14ac:dyDescent="0.3">
      <c r="A3" s="236">
        <v>2021</v>
      </c>
      <c r="B3" s="81">
        <f t="shared" ref="B3:B27" si="0">$B$2*MAX((ZeroCarbElectricity-C3)/(ZeroCarbElectricity-2020),0)</f>
        <v>4.9780007438923718E-2</v>
      </c>
      <c r="C3" s="82">
        <v>2021</v>
      </c>
      <c r="D3" s="73">
        <f>BAU!AP4</f>
        <v>1063472.1106892985</v>
      </c>
      <c r="E3" s="73">
        <f>BAU!AP4+'NC Reach Code Impacts'!AI4+'2-energy assessment'!BO37+'3-time of replacement'!BD28+'4-time of renovation'!BH34</f>
        <v>1063472.1106892985</v>
      </c>
      <c r="F3" s="94">
        <f t="shared" ref="F3:F27" si="1">E3-SUM(G3:M3)</f>
        <v>1060934.5405731951</v>
      </c>
      <c r="G3" s="95">
        <f>-'end of flow'!B4</f>
        <v>0</v>
      </c>
      <c r="H3" s="94">
        <f>-'5-performance standards'!AM35</f>
        <v>0</v>
      </c>
      <c r="I3" s="95">
        <f>-'4-time of renovation'!BG34</f>
        <v>0</v>
      </c>
      <c r="J3" s="94">
        <f>-'3-time of replacement'!BC28</f>
        <v>0</v>
      </c>
      <c r="K3" s="94">
        <f>-'2-energy assessment'!BN37</f>
        <v>0</v>
      </c>
      <c r="L3" s="73"/>
      <c r="M3" s="94">
        <f>-'NC Reach Code Impacts'!AH4</f>
        <v>2537.5701161034253</v>
      </c>
      <c r="N3" s="73">
        <f t="shared" ref="N3:N27" si="2">E$2*MAX((ZeroEmissionsBuildings-C3)/(ZeroEmissionsBuildings-2020),0)</f>
        <v>1052277.865254482</v>
      </c>
      <c r="O3" s="82"/>
      <c r="P3" s="36">
        <f>F3-'NC Reach Code Impacts'!AC4</f>
        <v>0</v>
      </c>
      <c r="Q3" s="36">
        <f>F3-'2-energy assessment'!BG37</f>
        <v>0</v>
      </c>
      <c r="R3" s="36">
        <f>F3-'3-time of replacement'!AW28</f>
        <v>0</v>
      </c>
      <c r="S3" s="36">
        <f>F3-'4-time of renovation'!BA34</f>
        <v>0</v>
      </c>
      <c r="T3" s="36">
        <f>F3-'5-performance standards'!AN35</f>
        <v>0</v>
      </c>
      <c r="U3" s="36">
        <f>F3-'end of flow'!C4</f>
        <v>0</v>
      </c>
    </row>
    <row r="4" spans="1:21" x14ac:dyDescent="0.3">
      <c r="A4" s="236">
        <v>2022</v>
      </c>
      <c r="B4" s="81">
        <f t="shared" si="0"/>
        <v>4.4248895501265532E-2</v>
      </c>
      <c r="C4" s="82">
        <v>2022</v>
      </c>
      <c r="D4" s="73">
        <f>BAU!AP5</f>
        <v>1032524.811154837</v>
      </c>
      <c r="E4" s="73">
        <f>BAU!AP5+'NC Reach Code Impacts'!AI5+'2-energy assessment'!BO38+'3-time of replacement'!BD29+'4-time of renovation'!BH35</f>
        <v>1032524.811154837</v>
      </c>
      <c r="F4" s="94">
        <f t="shared" si="1"/>
        <v>967738.7382465431</v>
      </c>
      <c r="G4" s="95">
        <f>-'end of flow'!B5</f>
        <v>0</v>
      </c>
      <c r="H4" s="94">
        <f>-'5-performance standards'!AM36</f>
        <v>3579.7170165249822</v>
      </c>
      <c r="I4" s="95">
        <f>-'4-time of renovation'!BG35</f>
        <v>1814.6312121451772</v>
      </c>
      <c r="J4" s="94">
        <f>-'3-time of replacement'!BC29</f>
        <v>53681.247878684633</v>
      </c>
      <c r="K4" s="94">
        <f>-'2-energy assessment'!BN38</f>
        <v>606.6520120099641</v>
      </c>
      <c r="L4" s="73"/>
      <c r="M4" s="94">
        <f>-'NC Reach Code Impacts'!AH5</f>
        <v>5103.8247889291397</v>
      </c>
      <c r="N4" s="73">
        <f t="shared" si="2"/>
        <v>1008432.954202212</v>
      </c>
      <c r="O4" s="82"/>
      <c r="P4" s="36">
        <f>F4-'NC Reach Code Impacts'!AC5</f>
        <v>-59682.248119364725</v>
      </c>
      <c r="Q4" s="36">
        <f>F4-'2-energy assessment'!BG38</f>
        <v>-59075.596107354737</v>
      </c>
      <c r="R4" s="36">
        <f>F4-'3-time of replacement'!AW29</f>
        <v>-5394.3482286700746</v>
      </c>
      <c r="S4" s="36">
        <f>F4-'4-time of renovation'!BA35</f>
        <v>-3579.7170165248681</v>
      </c>
      <c r="T4" s="36">
        <f>F4-'5-performance standards'!AN36</f>
        <v>0</v>
      </c>
      <c r="U4" s="36">
        <f>F4-'end of flow'!C5</f>
        <v>0</v>
      </c>
    </row>
    <row r="5" spans="1:21" x14ac:dyDescent="0.3">
      <c r="A5" s="236">
        <v>2023</v>
      </c>
      <c r="B5" s="81">
        <f t="shared" si="0"/>
        <v>3.8717783563607333E-2</v>
      </c>
      <c r="C5" s="82">
        <v>2023</v>
      </c>
      <c r="D5" s="73">
        <f>BAU!AP6</f>
        <v>1003121.3775279</v>
      </c>
      <c r="E5" s="73">
        <f>BAU!AP6+'NC Reach Code Impacts'!AI6+'2-energy assessment'!BO39+'3-time of replacement'!BD30+'4-time of renovation'!BH36</f>
        <v>1003121.3775279</v>
      </c>
      <c r="F5" s="94">
        <f t="shared" si="1"/>
        <v>881426.56596336362</v>
      </c>
      <c r="G5" s="95">
        <f>-'end of flow'!B6</f>
        <v>0</v>
      </c>
      <c r="H5" s="94">
        <f>-'5-performance standards'!AM37</f>
        <v>6651.2984757609111</v>
      </c>
      <c r="I5" s="95">
        <f>-'4-time of renovation'!BG36</f>
        <v>3484.7738027624232</v>
      </c>
      <c r="J5" s="94">
        <f>-'3-time of replacement'!BC30</f>
        <v>102725.28188232568</v>
      </c>
      <c r="K5" s="94">
        <f>-'2-energy assessment'!BN39</f>
        <v>1134.6933852102618</v>
      </c>
      <c r="L5" s="73"/>
      <c r="M5" s="94">
        <f>-'NC Reach Code Impacts'!AH6</f>
        <v>7698.7640184771417</v>
      </c>
      <c r="N5" s="73">
        <f t="shared" si="2"/>
        <v>964588.04314994183</v>
      </c>
      <c r="O5" s="82"/>
      <c r="P5" s="36">
        <f>F5-'NC Reach Code Impacts'!AC6</f>
        <v>-113996.04754605936</v>
      </c>
      <c r="Q5" s="36">
        <f>F5-'2-energy assessment'!BG39</f>
        <v>-112861.35416084912</v>
      </c>
      <c r="R5" s="36">
        <f>F5-'3-time of replacement'!AW30</f>
        <v>-10136.072278523468</v>
      </c>
      <c r="S5" s="36">
        <f>F5-'4-time of renovation'!BA36</f>
        <v>-6651.298475761083</v>
      </c>
      <c r="T5" s="36">
        <f>F5-'5-performance standards'!AN37</f>
        <v>0</v>
      </c>
      <c r="U5" s="36">
        <f>F5-'end of flow'!C6</f>
        <v>0</v>
      </c>
    </row>
    <row r="6" spans="1:21" x14ac:dyDescent="0.3">
      <c r="A6" s="236">
        <v>2024</v>
      </c>
      <c r="B6" s="81">
        <f t="shared" si="0"/>
        <v>3.3186671625949148E-2</v>
      </c>
      <c r="C6" s="82">
        <v>2024</v>
      </c>
      <c r="D6" s="73">
        <f>BAU!AP7</f>
        <v>975116.54137152457</v>
      </c>
      <c r="E6" s="73">
        <f>BAU!AP7+'NC Reach Code Impacts'!AI7+'2-energy assessment'!BO40+'3-time of replacement'!BD31+'4-time of renovation'!BH37</f>
        <v>975116.54137152457</v>
      </c>
      <c r="F6" s="94">
        <f t="shared" si="1"/>
        <v>801331.15091561619</v>
      </c>
      <c r="G6" s="95">
        <f>-'end of flow'!B7</f>
        <v>0</v>
      </c>
      <c r="H6" s="94">
        <f>-'5-performance standards'!AM38</f>
        <v>9257.3541747059444</v>
      </c>
      <c r="I6" s="95">
        <f>-'4-time of renovation'!BG37</f>
        <v>5023.5000528554247</v>
      </c>
      <c r="J6" s="94">
        <f>-'3-time of replacement'!BC31</f>
        <v>147588.96251368237</v>
      </c>
      <c r="K6" s="94">
        <f>-'2-energy assessment'!BN40</f>
        <v>1593.1859099172448</v>
      </c>
      <c r="L6" s="73"/>
      <c r="M6" s="94">
        <f>-'NC Reach Code Impacts'!AH7</f>
        <v>10322.387804747434</v>
      </c>
      <c r="N6" s="73">
        <f t="shared" si="2"/>
        <v>920743.13209767174</v>
      </c>
      <c r="O6" s="82"/>
      <c r="P6" s="36">
        <f>F6-'NC Reach Code Impacts'!AC7</f>
        <v>-163463.00265116093</v>
      </c>
      <c r="Q6" s="36">
        <f>F6-'2-energy assessment'!BG40</f>
        <v>-161869.8167412437</v>
      </c>
      <c r="R6" s="36">
        <f>F6-'3-time of replacement'!AW31</f>
        <v>-14280.854227561271</v>
      </c>
      <c r="S6" s="36">
        <f>F6-'4-time of renovation'!BA37</f>
        <v>-9257.3541747058043</v>
      </c>
      <c r="T6" s="36">
        <f>F6-'5-performance standards'!AN38</f>
        <v>0</v>
      </c>
      <c r="U6" s="36">
        <f>F6-'end of flow'!C7</f>
        <v>0</v>
      </c>
    </row>
    <row r="7" spans="1:21" x14ac:dyDescent="0.3">
      <c r="A7" s="236">
        <v>2025</v>
      </c>
      <c r="B7" s="81">
        <f t="shared" si="0"/>
        <v>2.7655559688290955E-2</v>
      </c>
      <c r="C7" s="82">
        <v>2025</v>
      </c>
      <c r="D7" s="73">
        <f>BAU!AP8</f>
        <v>948377.98134118062</v>
      </c>
      <c r="E7" s="73">
        <f>BAU!AP8+'NC Reach Code Impacts'!AI8+'2-energy assessment'!BO41+'3-time of replacement'!BD32+'4-time of renovation'!BH38</f>
        <v>948377.98134118062</v>
      </c>
      <c r="F7" s="94">
        <f t="shared" si="1"/>
        <v>726850.87136669143</v>
      </c>
      <c r="G7" s="95">
        <f>-'end of flow'!B8</f>
        <v>0</v>
      </c>
      <c r="H7" s="94">
        <f>-'5-performance standards'!AM39</f>
        <v>11436.16511850751</v>
      </c>
      <c r="I7" s="95">
        <f>-'4-time of renovation'!BG38</f>
        <v>6442.5633023198461</v>
      </c>
      <c r="J7" s="94">
        <f>-'3-time of replacement'!BC32</f>
        <v>188683.67037131166</v>
      </c>
      <c r="K7" s="94">
        <f>-'2-energy assessment'!BN41</f>
        <v>1990.0150346101566</v>
      </c>
      <c r="L7" s="73"/>
      <c r="M7" s="94">
        <f>-'NC Reach Code Impacts'!AH8</f>
        <v>12974.696147740015</v>
      </c>
      <c r="N7" s="73">
        <f t="shared" si="2"/>
        <v>876898.22104540176</v>
      </c>
      <c r="O7" s="82"/>
      <c r="P7" s="36">
        <f>F7-'NC Reach Code Impacts'!AC8</f>
        <v>-208552.41382674919</v>
      </c>
      <c r="Q7" s="36">
        <f>F7-'2-energy assessment'!BG41</f>
        <v>-206562.39879213902</v>
      </c>
      <c r="R7" s="36">
        <f>F7-'3-time of replacement'!AW32</f>
        <v>-17878.728420827305</v>
      </c>
      <c r="S7" s="36">
        <f>F7-'4-time of renovation'!BA38</f>
        <v>-11436.165118507459</v>
      </c>
      <c r="T7" s="36">
        <f>F7-'5-performance standards'!AN39</f>
        <v>0</v>
      </c>
      <c r="U7" s="36">
        <f>F7-'end of flow'!C8</f>
        <v>0</v>
      </c>
    </row>
    <row r="8" spans="1:21" x14ac:dyDescent="0.3">
      <c r="A8" s="236">
        <v>2026</v>
      </c>
      <c r="B8" s="81">
        <f t="shared" si="0"/>
        <v>2.2124447750632766E-2</v>
      </c>
      <c r="C8" s="82">
        <v>2026</v>
      </c>
      <c r="D8" s="73">
        <f>BAU!AP9</f>
        <v>922785.15540360007</v>
      </c>
      <c r="E8" s="73">
        <f>BAU!AP9+'NC Reach Code Impacts'!AI9+'2-energy assessment'!BO42+'3-time of replacement'!BD33+'4-time of renovation'!BH39</f>
        <v>922785.15540360007</v>
      </c>
      <c r="F8" s="94">
        <f t="shared" si="1"/>
        <v>657442.94145775679</v>
      </c>
      <c r="G8" s="95">
        <f>-'end of flow'!B9</f>
        <v>0</v>
      </c>
      <c r="H8" s="94">
        <f>-'5-performance standards'!AM40</f>
        <v>13222.113304765449</v>
      </c>
      <c r="I8" s="95">
        <f>-'4-time of renovation'!BG39</f>
        <v>7752.5348588963516</v>
      </c>
      <c r="J8" s="94">
        <f>-'3-time of replacement'!BC33</f>
        <v>226379.81556457392</v>
      </c>
      <c r="K8" s="94">
        <f>-'2-energy assessment'!BN42</f>
        <v>2332.0611701526786</v>
      </c>
      <c r="L8" s="73"/>
      <c r="M8" s="94">
        <f>-'NC Reach Code Impacts'!AH9</f>
        <v>15655.689047454882</v>
      </c>
      <c r="N8" s="73">
        <f t="shared" si="2"/>
        <v>833053.30999313167</v>
      </c>
      <c r="O8" s="82"/>
      <c r="P8" s="36">
        <f>F8-'NC Reach Code Impacts'!AC9</f>
        <v>-249686.52489838842</v>
      </c>
      <c r="Q8" s="36">
        <f>F8-'2-energy assessment'!BG42</f>
        <v>-247354.4637282358</v>
      </c>
      <c r="R8" s="36">
        <f>F8-'3-time of replacement'!AW33</f>
        <v>-20974.648163661826</v>
      </c>
      <c r="S8" s="36">
        <f>F8-'4-time of renovation'!BA39</f>
        <v>-13222.113304765429</v>
      </c>
      <c r="T8" s="36">
        <f>F8-'5-performance standards'!AN40</f>
        <v>0</v>
      </c>
      <c r="U8" s="36">
        <f>F8-'end of flow'!C9</f>
        <v>0</v>
      </c>
    </row>
    <row r="9" spans="1:21" x14ac:dyDescent="0.3">
      <c r="A9" s="236">
        <v>2027</v>
      </c>
      <c r="B9" s="81">
        <f t="shared" si="0"/>
        <v>1.6593335812974574E-2</v>
      </c>
      <c r="C9" s="82">
        <v>2027</v>
      </c>
      <c r="D9" s="73">
        <f>BAU!AP10</f>
        <v>898228.23922858015</v>
      </c>
      <c r="E9" s="73">
        <f>BAU!AP10+'NC Reach Code Impacts'!AI10+'2-energy assessment'!BO43+'3-time of replacement'!BD34+'4-time of renovation'!BH40</f>
        <v>898228.23922858015</v>
      </c>
      <c r="F9" s="94">
        <f t="shared" si="1"/>
        <v>592617.62937616068</v>
      </c>
      <c r="G9" s="95">
        <f>-'end of flow'!B10</f>
        <v>0</v>
      </c>
      <c r="H9" s="94">
        <f>-'5-performance standards'!AM41</f>
        <v>14646.069518626275</v>
      </c>
      <c r="I9" s="95">
        <f>-'4-time of renovation'!BG40</f>
        <v>8962.9264222021338</v>
      </c>
      <c r="J9" s="94">
        <f>-'3-time of replacement'!BC34</f>
        <v>261010.90392222465</v>
      </c>
      <c r="K9" s="94">
        <f>-'2-energy assessment'!BN43</f>
        <v>2625.3434854743177</v>
      </c>
      <c r="L9" s="73"/>
      <c r="M9" s="94">
        <f>-'NC Reach Code Impacts'!AH10</f>
        <v>18365.366503892041</v>
      </c>
      <c r="N9" s="73">
        <f t="shared" si="2"/>
        <v>789208.39894086146</v>
      </c>
      <c r="O9" s="82"/>
      <c r="P9" s="36">
        <f>F9-'NC Reach Code Impacts'!AC10</f>
        <v>-287245.24334852735</v>
      </c>
      <c r="Q9" s="36">
        <f>F9-'2-energy assessment'!BG43</f>
        <v>-284619.899863053</v>
      </c>
      <c r="R9" s="36">
        <f>F9-'3-time of replacement'!AW34</f>
        <v>-23608.995940828347</v>
      </c>
      <c r="S9" s="36">
        <f>F9-'4-time of renovation'!BA40</f>
        <v>-14646.069518626202</v>
      </c>
      <c r="T9" s="36">
        <f>F9-'5-performance standards'!AN41</f>
        <v>0</v>
      </c>
      <c r="U9" s="36">
        <f>F9-'end of flow'!C10</f>
        <v>0</v>
      </c>
    </row>
    <row r="10" spans="1:21" x14ac:dyDescent="0.3">
      <c r="A10" s="236">
        <v>2028</v>
      </c>
      <c r="B10" s="81">
        <f t="shared" si="0"/>
        <v>1.1062223875316383E-2</v>
      </c>
      <c r="C10" s="82">
        <v>2028</v>
      </c>
      <c r="D10" s="73">
        <f>BAU!AP11</f>
        <v>874607.16104454594</v>
      </c>
      <c r="E10" s="73">
        <f>BAU!AP11+'NC Reach Code Impacts'!AI11+'2-energy assessment'!BO44+'3-time of replacement'!BD35+'4-time of renovation'!BH41</f>
        <v>874607.16104454594</v>
      </c>
      <c r="F10" s="94">
        <f t="shared" si="1"/>
        <v>531933.04568165634</v>
      </c>
      <c r="G10" s="95">
        <f>-'end of flow'!B11</f>
        <v>0</v>
      </c>
      <c r="H10" s="94">
        <f>-'5-performance standards'!AM42</f>
        <v>15735.743175406853</v>
      </c>
      <c r="I10" s="95">
        <f>-'4-time of renovation'!BG41</f>
        <v>10082.299584583998</v>
      </c>
      <c r="J10" s="94">
        <f>-'3-time of replacement'!BC35</f>
        <v>292877.20311336452</v>
      </c>
      <c r="K10" s="94">
        <f>-'2-energy assessment'!BN44</f>
        <v>2875.1409724826963</v>
      </c>
      <c r="L10" s="73"/>
      <c r="M10" s="94">
        <f>-'NC Reach Code Impacts'!AH11</f>
        <v>21103.728517051488</v>
      </c>
      <c r="N10" s="73">
        <f t="shared" si="2"/>
        <v>745363.48788859148</v>
      </c>
      <c r="O10" s="82"/>
      <c r="P10" s="36">
        <f>F10-'NC Reach Code Impacts'!AC11</f>
        <v>-321570.38684583828</v>
      </c>
      <c r="Q10" s="36">
        <f>F10-'2-energy assessment'!BG44</f>
        <v>-318695.24587335554</v>
      </c>
      <c r="R10" s="36">
        <f>F10-'3-time of replacement'!AW35</f>
        <v>-25818.042759991018</v>
      </c>
      <c r="S10" s="36">
        <f>F10-'4-time of renovation'!BA41</f>
        <v>-15735.743175407057</v>
      </c>
      <c r="T10" s="36">
        <f>F10-'5-performance standards'!AN42</f>
        <v>0</v>
      </c>
      <c r="U10" s="36">
        <f>F10-'end of flow'!C11</f>
        <v>0</v>
      </c>
    </row>
    <row r="11" spans="1:21" x14ac:dyDescent="0.3">
      <c r="A11" s="236">
        <v>2029</v>
      </c>
      <c r="B11" s="81">
        <f t="shared" si="0"/>
        <v>5.5311119376581916E-3</v>
      </c>
      <c r="C11" s="82">
        <v>2029</v>
      </c>
      <c r="D11" s="73">
        <f>BAU!AP12</f>
        <v>851830.72414067341</v>
      </c>
      <c r="E11" s="73">
        <f>BAU!AP12+'NC Reach Code Impacts'!AI12+'2-energy assessment'!BO45+'3-time of replacement'!BD36+'4-time of renovation'!BH42</f>
        <v>851830.72414067341</v>
      </c>
      <c r="F11" s="94">
        <f t="shared" si="1"/>
        <v>474990.4450608698</v>
      </c>
      <c r="G11" s="95">
        <f>-'end of flow'!B12</f>
        <v>0</v>
      </c>
      <c r="H11" s="94">
        <f>-'5-performance standards'!AM43</f>
        <v>16515.997866465474</v>
      </c>
      <c r="I11" s="95">
        <f>-'4-time of renovation'!BG42</f>
        <v>11118.363798550703</v>
      </c>
      <c r="J11" s="94">
        <f>-'3-time of replacement'!BC36</f>
        <v>322249.04765067721</v>
      </c>
      <c r="K11" s="94">
        <f>-'2-energy assessment'!BN45</f>
        <v>3086.0946771770518</v>
      </c>
      <c r="L11" s="73"/>
      <c r="M11" s="94">
        <f>-'NC Reach Code Impacts'!AH12</f>
        <v>23870.775086933227</v>
      </c>
      <c r="N11" s="73">
        <f t="shared" si="2"/>
        <v>701518.57683632139</v>
      </c>
      <c r="O11" s="82"/>
      <c r="P11" s="36">
        <f>F11-'NC Reach Code Impacts'!AC12</f>
        <v>-352969.50399287045</v>
      </c>
      <c r="Q11" s="36">
        <f>F11-'2-energy assessment'!BG45</f>
        <v>-349883.40931569343</v>
      </c>
      <c r="R11" s="36">
        <f>F11-'3-time of replacement'!AW36</f>
        <v>-27634.361665016215</v>
      </c>
      <c r="S11" s="36">
        <f>F11-'4-time of renovation'!BA42</f>
        <v>-16515.997866465535</v>
      </c>
      <c r="T11" s="36">
        <f>F11-'5-performance standards'!AN43</f>
        <v>0</v>
      </c>
      <c r="U11" s="36">
        <f>F11-'end of flow'!C12</f>
        <v>0</v>
      </c>
    </row>
    <row r="12" spans="1:21" x14ac:dyDescent="0.3">
      <c r="A12" s="236">
        <v>2030</v>
      </c>
      <c r="B12" s="81">
        <f t="shared" si="0"/>
        <v>0</v>
      </c>
      <c r="C12" s="82">
        <v>2030</v>
      </c>
      <c r="D12" s="73">
        <f>BAU!AP13</f>
        <v>829815.80900809867</v>
      </c>
      <c r="E12" s="73">
        <f>BAU!AP13+'NC Reach Code Impacts'!AI13+'2-energy assessment'!BO46+'3-time of replacement'!BD37+'4-time of renovation'!BH43</f>
        <v>829815.80900809867</v>
      </c>
      <c r="F12" s="94">
        <f t="shared" si="1"/>
        <v>421429.99055482249</v>
      </c>
      <c r="G12" s="95">
        <f>-'end of flow'!B13</f>
        <v>0</v>
      </c>
      <c r="H12" s="94">
        <f>-'5-performance standards'!AM44</f>
        <v>17009.135918170348</v>
      </c>
      <c r="I12" s="95">
        <f>-'4-time of renovation'!BG43</f>
        <v>12078.064047939768</v>
      </c>
      <c r="J12" s="94">
        <f>-'3-time of replacement'!BC37</f>
        <v>349369.81799106055</v>
      </c>
      <c r="K12" s="94">
        <f>-'2-energy assessment'!BN46</f>
        <v>3262.2942825682853</v>
      </c>
      <c r="L12" s="73"/>
      <c r="M12" s="94">
        <f>-'NC Reach Code Impacts'!AH13</f>
        <v>26666.50621353725</v>
      </c>
      <c r="N12" s="73">
        <f t="shared" si="2"/>
        <v>657673.66578405129</v>
      </c>
      <c r="O12" s="82"/>
      <c r="P12" s="36">
        <f>F12-'NC Reach Code Impacts'!AC13</f>
        <v>-381719.312239739</v>
      </c>
      <c r="Q12" s="36">
        <f>F12-'2-energy assessment'!BG46</f>
        <v>-378457.01795717073</v>
      </c>
      <c r="R12" s="36">
        <f>F12-'3-time of replacement'!AW37</f>
        <v>-29087.199966110173</v>
      </c>
      <c r="S12" s="36">
        <f>F12-'4-time of renovation'!BA43</f>
        <v>-17009.135918170388</v>
      </c>
      <c r="T12" s="36">
        <f>F12-'5-performance standards'!AN44</f>
        <v>0</v>
      </c>
      <c r="U12" s="36">
        <f>F12-'end of flow'!C13</f>
        <v>0</v>
      </c>
    </row>
    <row r="13" spans="1:21" x14ac:dyDescent="0.3">
      <c r="A13" s="236">
        <v>2031</v>
      </c>
      <c r="B13" s="81">
        <f t="shared" si="0"/>
        <v>0</v>
      </c>
      <c r="C13" s="82">
        <v>2031</v>
      </c>
      <c r="D13" s="73">
        <f>BAU!AP14</f>
        <v>823799.58058179996</v>
      </c>
      <c r="E13" s="73">
        <f>BAU!AP14+'NC Reach Code Impacts'!AI14+'2-energy assessment'!BO47+'3-time of replacement'!BD38+'4-time of renovation'!BH44</f>
        <v>823799.58058179996</v>
      </c>
      <c r="F13" s="94">
        <f t="shared" si="1"/>
        <v>387699.26118685259</v>
      </c>
      <c r="G13" s="95">
        <f>-'end of flow'!B14</f>
        <v>0</v>
      </c>
      <c r="H13" s="94">
        <f>-'5-performance standards'!AM45</f>
        <v>17835.120439985396</v>
      </c>
      <c r="I13" s="95">
        <f>-'4-time of renovation'!BG44</f>
        <v>12945.018359830057</v>
      </c>
      <c r="J13" s="94">
        <f>-'3-time of replacement'!BC38</f>
        <v>372530.98177180195</v>
      </c>
      <c r="K13" s="94">
        <f>-'2-energy assessment'!BN47</f>
        <v>3456.0419884390044</v>
      </c>
      <c r="L13" s="73"/>
      <c r="M13" s="94">
        <f>-'NC Reach Code Impacts'!AH14</f>
        <v>29333.156834890979</v>
      </c>
      <c r="N13" s="73">
        <f t="shared" si="2"/>
        <v>613828.7547317812</v>
      </c>
      <c r="O13" s="82"/>
      <c r="P13" s="36">
        <f>F13-'NC Reach Code Impacts'!AC14</f>
        <v>-406767.16256005631</v>
      </c>
      <c r="Q13" s="36">
        <f>F13-'2-energy assessment'!BG47</f>
        <v>-403311.12057161727</v>
      </c>
      <c r="R13" s="36">
        <f>F13-'3-time of replacement'!AW38</f>
        <v>-30780.138799815322</v>
      </c>
      <c r="S13" s="36">
        <f>F13-'4-time of renovation'!BA44</f>
        <v>-17835.120439985243</v>
      </c>
      <c r="T13" s="36">
        <f>F13-'5-performance standards'!AN45</f>
        <v>0</v>
      </c>
      <c r="U13" s="36">
        <f>F13-'end of flow'!C14</f>
        <v>0</v>
      </c>
    </row>
    <row r="14" spans="1:21" x14ac:dyDescent="0.3">
      <c r="A14" s="236">
        <v>2032</v>
      </c>
      <c r="B14" s="81">
        <f t="shared" si="0"/>
        <v>0</v>
      </c>
      <c r="C14" s="82">
        <v>2032</v>
      </c>
      <c r="D14" s="73">
        <f>BAU!AP15</f>
        <v>818485.67028783332</v>
      </c>
      <c r="E14" s="73">
        <f>BAU!AP15+'NC Reach Code Impacts'!AI15+'2-energy assessment'!BO48+'3-time of replacement'!BD39+'4-time of renovation'!BH45</f>
        <v>818485.67028783332</v>
      </c>
      <c r="F14" s="94">
        <f t="shared" si="1"/>
        <v>357307.29243019549</v>
      </c>
      <c r="G14" s="95">
        <f>-'end of flow'!B15</f>
        <v>0</v>
      </c>
      <c r="H14" s="94">
        <f>-'5-performance standards'!AM46</f>
        <v>18212.407281311029</v>
      </c>
      <c r="I14" s="95">
        <f>-'4-time of renovation'!BG45</f>
        <v>13746.69571846641</v>
      </c>
      <c r="J14" s="94">
        <f>-'3-time of replacement'!BC39</f>
        <v>393590.04115443421</v>
      </c>
      <c r="K14" s="94">
        <f>-'2-energy assessment'!BN48</f>
        <v>3629.4262471814955</v>
      </c>
      <c r="L14" s="73"/>
      <c r="M14" s="94">
        <f>-'NC Reach Code Impacts'!AH15</f>
        <v>31999.8074562447</v>
      </c>
      <c r="N14" s="73">
        <f t="shared" si="2"/>
        <v>569983.8436795111</v>
      </c>
      <c r="O14" s="82"/>
      <c r="P14" s="36">
        <f>F14-'NC Reach Code Impacts'!AC15</f>
        <v>-429178.57040139311</v>
      </c>
      <c r="Q14" s="36">
        <f>F14-'2-energy assessment'!BG48</f>
        <v>-425549.14415421162</v>
      </c>
      <c r="R14" s="36">
        <f>F14-'3-time of replacement'!AW39</f>
        <v>-31959.102999777417</v>
      </c>
      <c r="S14" s="36">
        <f>F14-'4-time of renovation'!BA45</f>
        <v>-18212.407281310996</v>
      </c>
      <c r="T14" s="36">
        <f>F14-'5-performance standards'!AN46</f>
        <v>0</v>
      </c>
      <c r="U14" s="36">
        <f>F14-'end of flow'!C15</f>
        <v>0</v>
      </c>
    </row>
    <row r="15" spans="1:21" x14ac:dyDescent="0.3">
      <c r="A15" s="236">
        <v>2033</v>
      </c>
      <c r="B15" s="81">
        <f t="shared" si="0"/>
        <v>0</v>
      </c>
      <c r="C15" s="82">
        <v>2033</v>
      </c>
      <c r="D15" s="73">
        <f>BAU!AP16</f>
        <v>813814.58274867781</v>
      </c>
      <c r="E15" s="73">
        <f>BAU!AP16+'NC Reach Code Impacts'!AI16+'2-energy assessment'!BO49+'3-time of replacement'!BD40+'4-time of renovation'!BH46</f>
        <v>813814.58274867781</v>
      </c>
      <c r="F15" s="94">
        <f t="shared" si="1"/>
        <v>329710.12934554816</v>
      </c>
      <c r="G15" s="95">
        <f>-'end of flow'!B16</f>
        <v>0</v>
      </c>
      <c r="H15" s="94">
        <f>-'5-performance standards'!AM47</f>
        <v>18212.407281311029</v>
      </c>
      <c r="I15" s="95">
        <f>-'4-time of renovation'!BG46</f>
        <v>14496.425785142041</v>
      </c>
      <c r="J15" s="94">
        <f>-'3-time of replacement'!BC40</f>
        <v>412944.37928848062</v>
      </c>
      <c r="K15" s="94">
        <f>-'2-energy assessment'!BN49</f>
        <v>3784.782970597556</v>
      </c>
      <c r="L15" s="73"/>
      <c r="M15" s="94">
        <f>-'NC Reach Code Impacts'!AH16</f>
        <v>34666.458077598429</v>
      </c>
      <c r="N15" s="73">
        <f t="shared" si="2"/>
        <v>526138.93262724101</v>
      </c>
      <c r="O15" s="82"/>
      <c r="P15" s="36">
        <f>F15-'NC Reach Code Impacts'!AC16</f>
        <v>-449437.99532553117</v>
      </c>
      <c r="Q15" s="36">
        <f>F15-'2-energy assessment'!BG49</f>
        <v>-445653.21235493367</v>
      </c>
      <c r="R15" s="36">
        <f>F15-'3-time of replacement'!AW40</f>
        <v>-32708.833066453051</v>
      </c>
      <c r="S15" s="36">
        <f>F15-'4-time of renovation'!BA46</f>
        <v>-18212.407281310996</v>
      </c>
      <c r="T15" s="36">
        <f>F15-'5-performance standards'!AN47</f>
        <v>0</v>
      </c>
      <c r="U15" s="36">
        <f>F15-'end of flow'!C16</f>
        <v>0</v>
      </c>
    </row>
    <row r="16" spans="1:21" x14ac:dyDescent="0.3">
      <c r="A16" s="236">
        <v>2034</v>
      </c>
      <c r="B16" s="81">
        <f t="shared" si="0"/>
        <v>0</v>
      </c>
      <c r="C16" s="82">
        <v>2034</v>
      </c>
      <c r="D16" s="73">
        <f>BAU!AP17</f>
        <v>809732.0136712247</v>
      </c>
      <c r="E16" s="73">
        <f>BAU!AP17+'NC Reach Code Impacts'!AI17+'2-energy assessment'!BO50+'3-time of replacement'!BD41+'4-time of renovation'!BH47</f>
        <v>809732.0136712247</v>
      </c>
      <c r="F16" s="94">
        <f t="shared" si="1"/>
        <v>304093.43515367853</v>
      </c>
      <c r="G16" s="95">
        <f>-'end of flow'!B17</f>
        <v>0</v>
      </c>
      <c r="H16" s="94">
        <f>-'5-performance standards'!AM48</f>
        <v>18212.407281311029</v>
      </c>
      <c r="I16" s="95">
        <f>-'4-time of renovation'!BG47</f>
        <v>15201.171906275222</v>
      </c>
      <c r="J16" s="94">
        <f>-'3-time of replacement'!BC41</f>
        <v>430967.73118058825</v>
      </c>
      <c r="K16" s="94">
        <f>-'2-energy assessment'!BN50</f>
        <v>3924.1594504195241</v>
      </c>
      <c r="L16" s="73"/>
      <c r="M16" s="94">
        <f>-'NC Reach Code Impacts'!AH17</f>
        <v>37333.10869895215</v>
      </c>
      <c r="N16" s="73">
        <f t="shared" si="2"/>
        <v>482294.02157497092</v>
      </c>
      <c r="O16" s="82"/>
      <c r="P16" s="36">
        <f>F16-'NC Reach Code Impacts'!AC17</f>
        <v>-468305.46981859405</v>
      </c>
      <c r="Q16" s="36">
        <f>F16-'2-energy assessment'!BG50</f>
        <v>-464381.31036817457</v>
      </c>
      <c r="R16" s="36">
        <f>F16-'3-time of replacement'!AW41</f>
        <v>-33413.579187586321</v>
      </c>
      <c r="S16" s="36">
        <f>F16-'4-time of renovation'!BA47</f>
        <v>-18212.407281311112</v>
      </c>
      <c r="T16" s="36">
        <f>F16-'5-performance standards'!AN48</f>
        <v>0</v>
      </c>
      <c r="U16" s="36">
        <f>F16-'end of flow'!C17</f>
        <v>0</v>
      </c>
    </row>
    <row r="17" spans="1:21" x14ac:dyDescent="0.3">
      <c r="A17" s="236">
        <v>2035</v>
      </c>
      <c r="B17" s="81">
        <f t="shared" si="0"/>
        <v>0</v>
      </c>
      <c r="C17" s="82">
        <v>2035</v>
      </c>
      <c r="D17" s="73">
        <f>BAU!AP18</f>
        <v>806188.38880932797</v>
      </c>
      <c r="E17" s="73">
        <f>BAU!AP18+'NC Reach Code Impacts'!AI18+'2-energy assessment'!BO51+'3-time of replacement'!BD42+'4-time of renovation'!BH48</f>
        <v>806188.38880932797</v>
      </c>
      <c r="F17" s="94">
        <f t="shared" si="1"/>
        <v>280307.20960714773</v>
      </c>
      <c r="G17" s="95">
        <f>-'end of flow'!B18</f>
        <v>0</v>
      </c>
      <c r="H17" s="94">
        <f>-'5-performance standards'!AM49</f>
        <v>18212.407281311029</v>
      </c>
      <c r="I17" s="95">
        <f>-'4-time of renovation'!BG48</f>
        <v>15864.047952213356</v>
      </c>
      <c r="J17" s="94">
        <f>-'3-time of replacement'!BC42</f>
        <v>447755.61197178479</v>
      </c>
      <c r="K17" s="94">
        <f>-'2-energy assessment'!BN51</f>
        <v>4049.3526765651973</v>
      </c>
      <c r="L17" s="73"/>
      <c r="M17" s="94">
        <f>-'NC Reach Code Impacts'!AH18</f>
        <v>39999.759320305871</v>
      </c>
      <c r="N17" s="73">
        <f t="shared" si="2"/>
        <v>438449.11052270088</v>
      </c>
      <c r="O17" s="82"/>
      <c r="P17" s="36">
        <f>F17-'NC Reach Code Impacts'!AC18</f>
        <v>-485881.41988187435</v>
      </c>
      <c r="Q17" s="36">
        <f>F17-'2-energy assessment'!BG51</f>
        <v>-481832.06720530917</v>
      </c>
      <c r="R17" s="36">
        <f>F17-'3-time of replacement'!AW42</f>
        <v>-34076.455233524379</v>
      </c>
      <c r="S17" s="36">
        <f>F17-'4-time of renovation'!BA48</f>
        <v>-18212.407281310996</v>
      </c>
      <c r="T17" s="36">
        <f>F17-'5-performance standards'!AN49</f>
        <v>0</v>
      </c>
      <c r="U17" s="36">
        <f>F17-'end of flow'!C18</f>
        <v>0</v>
      </c>
    </row>
    <row r="18" spans="1:21" x14ac:dyDescent="0.3">
      <c r="A18" s="236">
        <v>2036</v>
      </c>
      <c r="B18" s="81">
        <f t="shared" si="0"/>
        <v>0</v>
      </c>
      <c r="C18" s="82">
        <v>2036</v>
      </c>
      <c r="D18" s="73">
        <f>BAU!AP19</f>
        <v>803138.44429488038</v>
      </c>
      <c r="E18" s="73">
        <f>BAU!AP19+'NC Reach Code Impacts'!AI19+'2-energy assessment'!BO52+'3-time of replacement'!BD43+'4-time of renovation'!BH49</f>
        <v>803138.44429488038</v>
      </c>
      <c r="F18" s="94">
        <f t="shared" si="1"/>
        <v>258213.35662839958</v>
      </c>
      <c r="G18" s="95">
        <f>-'end of flow'!B19</f>
        <v>0</v>
      </c>
      <c r="H18" s="94">
        <f>-'5-performance standards'!AM50</f>
        <v>18212.407281311029</v>
      </c>
      <c r="I18" s="95">
        <f>-'4-time of renovation'!BG49</f>
        <v>16487.937723484127</v>
      </c>
      <c r="J18" s="94">
        <f>-'3-time of replacement'!BC43</f>
        <v>463396.39054345491</v>
      </c>
      <c r="K18" s="94">
        <f>-'2-energy assessment'!BN52</f>
        <v>4161.9421765711986</v>
      </c>
      <c r="L18" s="73"/>
      <c r="M18" s="94">
        <f>-'NC Reach Code Impacts'!AH19</f>
        <v>42666.4099416596</v>
      </c>
      <c r="N18" s="73">
        <f t="shared" si="2"/>
        <v>394604.19947043073</v>
      </c>
      <c r="O18" s="82"/>
      <c r="P18" s="36">
        <f>F18-'NC Reach Code Impacts'!AC19</f>
        <v>-502258.67772482126</v>
      </c>
      <c r="Q18" s="36">
        <f>F18-'2-energy assessment'!BG52</f>
        <v>-498096.73554825003</v>
      </c>
      <c r="R18" s="36">
        <f>F18-'3-time of replacement'!AW43</f>
        <v>-34700.345004795119</v>
      </c>
      <c r="S18" s="36">
        <f>F18-'4-time of renovation'!BA49</f>
        <v>-18212.407281310996</v>
      </c>
      <c r="T18" s="36">
        <f>F18-'5-performance standards'!AN50</f>
        <v>0</v>
      </c>
      <c r="U18" s="36">
        <f>F18-'end of flow'!C19</f>
        <v>0</v>
      </c>
    </row>
    <row r="19" spans="1:21" x14ac:dyDescent="0.3">
      <c r="A19" s="236">
        <v>2037</v>
      </c>
      <c r="B19" s="81">
        <f t="shared" si="0"/>
        <v>0</v>
      </c>
      <c r="C19" s="82">
        <v>2037</v>
      </c>
      <c r="D19" s="73">
        <f>BAU!AP20</f>
        <v>800540.8446038476</v>
      </c>
      <c r="E19" s="73">
        <f>BAU!AP20+'NC Reach Code Impacts'!AI20+'2-energy assessment'!BO53+'3-time of replacement'!BD44+'4-time of renovation'!BH50</f>
        <v>800540.8446038476</v>
      </c>
      <c r="F19" s="94">
        <f t="shared" si="1"/>
        <v>237684.70110861165</v>
      </c>
      <c r="G19" s="95">
        <f>-'end of flow'!B20</f>
        <v>0</v>
      </c>
      <c r="H19" s="94">
        <f>-'5-performance standards'!AM51</f>
        <v>18212.407281311029</v>
      </c>
      <c r="I19" s="95">
        <f>-'4-time of renovation'!BG50</f>
        <v>17075.513084055503</v>
      </c>
      <c r="J19" s="94">
        <f>-'3-time of replacement'!BC44</f>
        <v>477971.84434560523</v>
      </c>
      <c r="K19" s="94">
        <f>-'2-energy assessment'!BN53</f>
        <v>4263.3182212508673</v>
      </c>
      <c r="L19" s="73"/>
      <c r="M19" s="94">
        <f>-'NC Reach Code Impacts'!AH20</f>
        <v>45333.060563013329</v>
      </c>
      <c r="N19" s="73">
        <f t="shared" si="2"/>
        <v>350759.28841816069</v>
      </c>
      <c r="O19" s="82"/>
      <c r="P19" s="36">
        <f>F19-'NC Reach Code Impacts'!AC20</f>
        <v>-517523.08293222263</v>
      </c>
      <c r="Q19" s="36">
        <f>F19-'2-energy assessment'!BG53</f>
        <v>-513259.76471097174</v>
      </c>
      <c r="R19" s="36">
        <f>F19-'3-time of replacement'!AW44</f>
        <v>-35287.920365366503</v>
      </c>
      <c r="S19" s="36">
        <f>F19-'4-time of renovation'!BA50</f>
        <v>-18212.407281310996</v>
      </c>
      <c r="T19" s="36">
        <f>F19-'5-performance standards'!AN51</f>
        <v>0</v>
      </c>
      <c r="U19" s="36">
        <f>F19-'end of flow'!C20</f>
        <v>0</v>
      </c>
    </row>
    <row r="20" spans="1:21" x14ac:dyDescent="0.3">
      <c r="A20" s="236">
        <v>2038</v>
      </c>
      <c r="B20" s="81">
        <f t="shared" si="0"/>
        <v>0</v>
      </c>
      <c r="C20" s="82">
        <v>2038</v>
      </c>
      <c r="D20" s="73">
        <f>BAU!AP21</f>
        <v>798357.83476172923</v>
      </c>
      <c r="E20" s="73">
        <f>BAU!AP21+'NC Reach Code Impacts'!AI21+'2-energy assessment'!BO54+'3-time of replacement'!BD45+'4-time of renovation'!BH51</f>
        <v>798357.83476172923</v>
      </c>
      <c r="F20" s="94">
        <f t="shared" si="1"/>
        <v>218604.08979787817</v>
      </c>
      <c r="G20" s="95">
        <f>-'end of flow'!B21</f>
        <v>0</v>
      </c>
      <c r="H20" s="94">
        <f>-'5-performance standards'!AM52</f>
        <v>18212.407281311029</v>
      </c>
      <c r="I20" s="95">
        <f>-'4-time of renovation'!BG51</f>
        <v>17629.250573599991</v>
      </c>
      <c r="J20" s="94">
        <f>-'3-time of replacement'!BC45</f>
        <v>491557.66982315347</v>
      </c>
      <c r="K20" s="94">
        <f>-'2-energy assessment'!BN54</f>
        <v>4354.7061014195287</v>
      </c>
      <c r="L20" s="73"/>
      <c r="M20" s="94">
        <f>-'NC Reach Code Impacts'!AH21</f>
        <v>47999.71118436705</v>
      </c>
      <c r="N20" s="73">
        <f t="shared" si="2"/>
        <v>306914.3773658906</v>
      </c>
      <c r="O20" s="82"/>
      <c r="P20" s="36">
        <f>F20-'NC Reach Code Impacts'!AC21</f>
        <v>-531754.03377948399</v>
      </c>
      <c r="Q20" s="36">
        <f>F20-'2-energy assessment'!BG54</f>
        <v>-527399.32767806447</v>
      </c>
      <c r="R20" s="36">
        <f>F20-'3-time of replacement'!AW45</f>
        <v>-35841.657854910998</v>
      </c>
      <c r="S20" s="36">
        <f>F20-'4-time of renovation'!BA51</f>
        <v>-18212.407281310996</v>
      </c>
      <c r="T20" s="36">
        <f>F20-'5-performance standards'!AN52</f>
        <v>0</v>
      </c>
      <c r="U20" s="36">
        <f>F20-'end of flow'!C21</f>
        <v>0</v>
      </c>
    </row>
    <row r="21" spans="1:21" x14ac:dyDescent="0.3">
      <c r="A21" s="236">
        <v>2039</v>
      </c>
      <c r="B21" s="81">
        <f t="shared" si="0"/>
        <v>0</v>
      </c>
      <c r="C21" s="82">
        <v>2039</v>
      </c>
      <c r="D21" s="73">
        <f>BAU!AP22</f>
        <v>796554.92370032519</v>
      </c>
      <c r="E21" s="73">
        <f>BAU!AP22+'NC Reach Code Impacts'!AI22+'2-energy assessment'!BO55+'3-time of replacement'!BD46+'4-time of renovation'!BH52</f>
        <v>796554.92370032519</v>
      </c>
      <c r="F21" s="94">
        <f t="shared" si="1"/>
        <v>200863.5688394875</v>
      </c>
      <c r="G21" s="95">
        <f>-'end of flow'!B22</f>
        <v>0</v>
      </c>
      <c r="H21" s="94">
        <f>-'5-performance standards'!AM53</f>
        <v>18212.407281311029</v>
      </c>
      <c r="I21" s="95">
        <f>-'4-time of renovation'!BG52</f>
        <v>18151.446633889307</v>
      </c>
      <c r="J21" s="94">
        <f>-'3-time of replacement'!BC46</f>
        <v>504223.95207477768</v>
      </c>
      <c r="K21" s="94">
        <f>-'2-energy assessment'!BN55</f>
        <v>4437.1870651388454</v>
      </c>
      <c r="L21" s="73"/>
      <c r="M21" s="94">
        <f>-'NC Reach Code Impacts'!AH22</f>
        <v>50666.361805720786</v>
      </c>
      <c r="N21" s="73">
        <f t="shared" si="2"/>
        <v>263069.46631362051</v>
      </c>
      <c r="O21" s="82"/>
      <c r="P21" s="36">
        <f>F21-'NC Reach Code Impacts'!AC22</f>
        <v>-545024.99305511685</v>
      </c>
      <c r="Q21" s="36">
        <f>F21-'2-energy assessment'!BG55</f>
        <v>-540587.80598997802</v>
      </c>
      <c r="R21" s="36">
        <f>F21-'3-time of replacement'!AW46</f>
        <v>-36363.853915200336</v>
      </c>
      <c r="S21" s="36">
        <f>F21-'4-time of renovation'!BA52</f>
        <v>-18212.407281311025</v>
      </c>
      <c r="T21" s="36">
        <f>F21-'5-performance standards'!AN53</f>
        <v>0</v>
      </c>
      <c r="U21" s="36">
        <f>F21-'end of flow'!C22</f>
        <v>0</v>
      </c>
    </row>
    <row r="22" spans="1:21" x14ac:dyDescent="0.3">
      <c r="A22" s="236">
        <v>2040</v>
      </c>
      <c r="B22" s="81">
        <f t="shared" si="0"/>
        <v>0</v>
      </c>
      <c r="C22" s="82">
        <v>2040</v>
      </c>
      <c r="D22" s="73">
        <f>BAU!AP23</f>
        <v>795100.59595718724</v>
      </c>
      <c r="E22" s="73">
        <f>BAU!AP23+'NC Reach Code Impacts'!AI23+'2-energy assessment'!BO56+'3-time of replacement'!BD47+'4-time of renovation'!BH53</f>
        <v>795100.59595718724</v>
      </c>
      <c r="F22" s="94">
        <f t="shared" si="1"/>
        <v>184363.63118988741</v>
      </c>
      <c r="G22" s="95">
        <f>-'end of flow'!B23</f>
        <v>0</v>
      </c>
      <c r="H22" s="94">
        <f>-'5-performance standards'!AM54</f>
        <v>18212.407281311029</v>
      </c>
      <c r="I22" s="95">
        <f>-'4-time of renovation'!BG53</f>
        <v>18644.231571802302</v>
      </c>
      <c r="J22" s="94">
        <f>-'3-time of replacement'!BC47</f>
        <v>516035.59707738535</v>
      </c>
      <c r="K22" s="94">
        <f>-'2-energy assessment'!BN56</f>
        <v>4511.7164097266632</v>
      </c>
      <c r="L22" s="73"/>
      <c r="M22" s="94">
        <f>-'NC Reach Code Impacts'!AH23</f>
        <v>53333.012427074507</v>
      </c>
      <c r="N22" s="73">
        <f t="shared" si="2"/>
        <v>219224.55526135044</v>
      </c>
      <c r="O22" s="82"/>
      <c r="P22" s="36">
        <f>F22-'NC Reach Code Impacts'!AC23</f>
        <v>-557403.95234022534</v>
      </c>
      <c r="Q22" s="36">
        <f>F22-'2-energy assessment'!BG56</f>
        <v>-552892.23593049869</v>
      </c>
      <c r="R22" s="36">
        <f>F22-'3-time of replacement'!AW47</f>
        <v>-36856.638853113342</v>
      </c>
      <c r="S22" s="36">
        <f>F22-'4-time of renovation'!BA53</f>
        <v>-18212.407281311054</v>
      </c>
      <c r="T22" s="36">
        <f>F22-'5-performance standards'!AN54</f>
        <v>0</v>
      </c>
      <c r="U22" s="36">
        <f>F22-'end of flow'!C23</f>
        <v>0</v>
      </c>
    </row>
    <row r="23" spans="1:21" x14ac:dyDescent="0.3">
      <c r="A23" s="236">
        <v>2041</v>
      </c>
      <c r="B23" s="81">
        <f t="shared" si="0"/>
        <v>0</v>
      </c>
      <c r="C23" s="82">
        <v>2041</v>
      </c>
      <c r="D23" s="73">
        <f>BAU!AP24</f>
        <v>793966.0491632995</v>
      </c>
      <c r="E23" s="73">
        <f>BAU!AP24+'NC Reach Code Impacts'!AI24+'2-energy assessment'!BO57+'3-time of replacement'!BD48+'4-time of renovation'!BH54</f>
        <v>793966.0491632995</v>
      </c>
      <c r="F23" s="94">
        <f t="shared" si="1"/>
        <v>169012.46439194342</v>
      </c>
      <c r="G23" s="95">
        <f>-'end of flow'!B24</f>
        <v>0</v>
      </c>
      <c r="H23" s="94">
        <f>-'5-performance standards'!AM55</f>
        <v>18212.407281311029</v>
      </c>
      <c r="I23" s="95">
        <f>-'4-time of renovation'!BG54</f>
        <v>19109.645764810444</v>
      </c>
      <c r="J23" s="94">
        <f>-'3-time of replacement'!BC48</f>
        <v>527052.72953277663</v>
      </c>
      <c r="K23" s="94">
        <f>-'2-energy assessment'!BN57</f>
        <v>4579.1391440296939</v>
      </c>
      <c r="L23" s="73"/>
      <c r="M23" s="94">
        <f>-'NC Reach Code Impacts'!AH24</f>
        <v>55999.663048428236</v>
      </c>
      <c r="N23" s="73">
        <f t="shared" si="2"/>
        <v>175379.64420908035</v>
      </c>
      <c r="O23" s="82"/>
      <c r="P23" s="36">
        <f>F23-'NC Reach Code Impacts'!AC24</f>
        <v>-568953.92172292783</v>
      </c>
      <c r="Q23" s="36">
        <f>F23-'2-energy assessment'!BG57</f>
        <v>-564374.78257889813</v>
      </c>
      <c r="R23" s="36">
        <f>F23-'3-time of replacement'!AW48</f>
        <v>-37322.053046121495</v>
      </c>
      <c r="S23" s="36">
        <f>F23-'4-time of renovation'!BA54</f>
        <v>-18212.407281311054</v>
      </c>
      <c r="T23" s="36">
        <f>F23-'5-performance standards'!AN55</f>
        <v>0</v>
      </c>
      <c r="U23" s="36">
        <f>F23-'end of flow'!C24</f>
        <v>0</v>
      </c>
    </row>
    <row r="24" spans="1:21" x14ac:dyDescent="0.3">
      <c r="A24" s="236">
        <v>2042</v>
      </c>
      <c r="B24" s="81">
        <f t="shared" si="0"/>
        <v>0</v>
      </c>
      <c r="C24" s="82">
        <v>2042</v>
      </c>
      <c r="D24" s="73">
        <f>BAU!AP25</f>
        <v>793124.9549956515</v>
      </c>
      <c r="E24" s="73">
        <f>BAU!AP25+'NC Reach Code Impacts'!AI25+'2-energy assessment'!BO58+'3-time of replacement'!BD49+'4-time of renovation'!BH55</f>
        <v>793124.9549956515</v>
      </c>
      <c r="F24" s="94">
        <f t="shared" si="1"/>
        <v>154711.87896673242</v>
      </c>
      <c r="G24" s="95">
        <f>-'end of flow'!B25</f>
        <v>0</v>
      </c>
      <c r="H24" s="94">
        <f>-'5-performance standards'!AM56</f>
        <v>18212.407281311029</v>
      </c>
      <c r="I24" s="95">
        <f>-'4-time of renovation'!BG55</f>
        <v>19551.965765708948</v>
      </c>
      <c r="J24" s="94">
        <f>-'3-time of replacement'!BC49</f>
        <v>537342.18574096495</v>
      </c>
      <c r="K24" s="94">
        <f>-'2-energy assessment'!BN58</f>
        <v>4640.2035711522103</v>
      </c>
      <c r="L24" s="73"/>
      <c r="M24" s="94">
        <f>-'NC Reach Code Impacts'!AH25</f>
        <v>58666.313669781957</v>
      </c>
      <c r="N24" s="73">
        <f t="shared" si="2"/>
        <v>131534.73315681025</v>
      </c>
      <c r="O24" s="82"/>
      <c r="P24" s="36">
        <f>F24-'NC Reach Code Impacts'!AC25</f>
        <v>-579746.76235913706</v>
      </c>
      <c r="Q24" s="36">
        <f>F24-'2-energy assessment'!BG58</f>
        <v>-575106.55878798489</v>
      </c>
      <c r="R24" s="36">
        <f>F24-'3-time of replacement'!AW49</f>
        <v>-37764.373047019937</v>
      </c>
      <c r="S24" s="36">
        <f>F24-'4-time of renovation'!BA55</f>
        <v>-18212.407281310996</v>
      </c>
      <c r="T24" s="36">
        <f>F24-'5-performance standards'!AN56</f>
        <v>0</v>
      </c>
      <c r="U24" s="36">
        <f>F24-'end of flow'!C25</f>
        <v>0</v>
      </c>
    </row>
    <row r="25" spans="1:21" x14ac:dyDescent="0.3">
      <c r="A25" s="236">
        <v>2043</v>
      </c>
      <c r="B25" s="81">
        <f t="shared" si="0"/>
        <v>0</v>
      </c>
      <c r="C25" s="82">
        <v>2043</v>
      </c>
      <c r="D25" s="73">
        <f>BAU!AP26</f>
        <v>792553.24148152419</v>
      </c>
      <c r="E25" s="73">
        <f>BAU!AP26+'NC Reach Code Impacts'!AI26+'2-energy assessment'!BO59+'3-time of replacement'!BD50+'4-time of renovation'!BH56</f>
        <v>792553.24148152419</v>
      </c>
      <c r="F25" s="94">
        <f t="shared" si="1"/>
        <v>141343.51981855603</v>
      </c>
      <c r="G25" s="95">
        <f>-'end of flow'!B26</f>
        <v>0</v>
      </c>
      <c r="H25" s="94">
        <f>-'5-performance standards'!AM57</f>
        <v>18212.407281311029</v>
      </c>
      <c r="I25" s="95">
        <f>-'4-time of renovation'!BG56</f>
        <v>19972.650403184409</v>
      </c>
      <c r="J25" s="94">
        <f>-'3-time of replacement'!BC50</f>
        <v>546996.12659979798</v>
      </c>
      <c r="K25" s="94">
        <f>-'2-energy assessment'!BN59</f>
        <v>4695.5730875390409</v>
      </c>
      <c r="L25" s="73"/>
      <c r="M25" s="94">
        <f>-'NC Reach Code Impacts'!AH26</f>
        <v>61332.964291135693</v>
      </c>
      <c r="N25" s="73">
        <f t="shared" si="2"/>
        <v>87689.822104540173</v>
      </c>
      <c r="O25" s="82"/>
      <c r="P25" s="36">
        <f>F25-'NC Reach Code Impacts'!AC26</f>
        <v>-589876.75737183262</v>
      </c>
      <c r="Q25" s="36">
        <f>F25-'2-energy assessment'!BG59</f>
        <v>-585181.18428429356</v>
      </c>
      <c r="R25" s="36">
        <f>F25-'3-time of replacement'!AW50</f>
        <v>-38185.057684495579</v>
      </c>
      <c r="S25" s="36">
        <f>F25-'4-time of renovation'!BA56</f>
        <v>-18212.407281311171</v>
      </c>
      <c r="T25" s="36">
        <f>F25-'5-performance standards'!AN57</f>
        <v>0</v>
      </c>
      <c r="U25" s="36">
        <f>F25-'end of flow'!C26</f>
        <v>0</v>
      </c>
    </row>
    <row r="26" spans="1:21" x14ac:dyDescent="0.3">
      <c r="A26" s="236">
        <v>2044</v>
      </c>
      <c r="B26" s="81">
        <f t="shared" si="0"/>
        <v>0</v>
      </c>
      <c r="C26" s="82">
        <v>2044</v>
      </c>
      <c r="D26" s="73">
        <f>BAU!AP27</f>
        <v>792228.89473241719</v>
      </c>
      <c r="E26" s="73">
        <f>BAU!AP27+'NC Reach Code Impacts'!AI27+'2-energy assessment'!BO60+'3-time of replacement'!BD51+'4-time of renovation'!BH57</f>
        <v>792228.89473241719</v>
      </c>
      <c r="F26" s="94">
        <f t="shared" si="1"/>
        <v>128840.55837241397</v>
      </c>
      <c r="G26" s="95">
        <f>-'end of flow'!B27</f>
        <v>0</v>
      </c>
      <c r="H26" s="94">
        <f>-'5-performance standards'!AM58</f>
        <v>18212.407281311029</v>
      </c>
      <c r="I26" s="95">
        <f>-'4-time of renovation'!BG57</f>
        <v>20373.056193604716</v>
      </c>
      <c r="J26" s="94">
        <f>-'3-time of replacement'!BC51</f>
        <v>556057.42152354575</v>
      </c>
      <c r="K26" s="94">
        <f>-'2-energy assessment'!BN60</f>
        <v>4745.8364490522745</v>
      </c>
      <c r="L26" s="73"/>
      <c r="M26" s="94">
        <f>-'NC Reach Code Impacts'!AH27</f>
        <v>63999.6149124894</v>
      </c>
      <c r="N26" s="73">
        <f t="shared" si="2"/>
        <v>43844.911052270087</v>
      </c>
      <c r="O26" s="82"/>
      <c r="P26" s="36">
        <f>F26-'NC Reach Code Impacts'!AC27</f>
        <v>-599388.7214475139</v>
      </c>
      <c r="Q26" s="36">
        <f>F26-'2-energy assessment'!BG60</f>
        <v>-594642.88499846158</v>
      </c>
      <c r="R26" s="36">
        <f>F26-'3-time of replacement'!AW51</f>
        <v>-38585.463474915829</v>
      </c>
      <c r="S26" s="36">
        <f>F26-'4-time of renovation'!BA57</f>
        <v>-18212.407281311112</v>
      </c>
      <c r="T26" s="36">
        <f>F26-'5-performance standards'!AN58</f>
        <v>0</v>
      </c>
      <c r="U26" s="36">
        <f>F26-'end of flow'!C27</f>
        <v>0</v>
      </c>
    </row>
    <row r="27" spans="1:21" x14ac:dyDescent="0.3">
      <c r="A27" s="237">
        <v>2045</v>
      </c>
      <c r="B27" s="81">
        <f t="shared" si="0"/>
        <v>0</v>
      </c>
      <c r="C27" s="82">
        <v>2045</v>
      </c>
      <c r="D27" s="73">
        <f>BAU!AP28</f>
        <v>792131.77835932979</v>
      </c>
      <c r="E27" s="73">
        <f>BAU!AP28+'NC Reach Code Impacts'!AI28+'2-energy assessment'!BO61+'3-time of replacement'!BD52+'4-time of renovation'!BH58</f>
        <v>792131.77835932979</v>
      </c>
      <c r="F27" s="94">
        <f t="shared" si="1"/>
        <v>0</v>
      </c>
      <c r="G27" s="95">
        <f>-'end of flow'!B28</f>
        <v>117141.31699305633</v>
      </c>
      <c r="H27" s="94">
        <f>-'5-performance standards'!AM59</f>
        <v>18212.407281311029</v>
      </c>
      <c r="I27" s="95">
        <f>-'4-time of renovation'!BG58</f>
        <v>20754.4451639666</v>
      </c>
      <c r="J27" s="94">
        <f>-'3-time of replacement'!BC52</f>
        <v>564565.82667029637</v>
      </c>
      <c r="K27" s="94">
        <f>-'2-energy assessment'!BN61</f>
        <v>4791.5167168563012</v>
      </c>
      <c r="L27" s="73"/>
      <c r="M27" s="94">
        <f>-'NC Reach Code Impacts'!AH28</f>
        <v>66666.265533843136</v>
      </c>
      <c r="N27" s="73">
        <f t="shared" si="2"/>
        <v>0</v>
      </c>
      <c r="O27" s="82"/>
      <c r="P27" s="36">
        <f>F27-'NC Reach Code Impacts'!AC28</f>
        <v>-725465.5128254866</v>
      </c>
      <c r="Q27" s="36">
        <f>F27-'2-energy assessment'!BG61</f>
        <v>-720673.99610863032</v>
      </c>
      <c r="R27" s="36">
        <f>F27-'3-time of replacement'!AW52</f>
        <v>-156108.16943833395</v>
      </c>
      <c r="S27" s="36">
        <f>F27-'4-time of renovation'!BA58</f>
        <v>-135353.72427436736</v>
      </c>
      <c r="T27" s="36">
        <f>F27-'5-performance standards'!AN59</f>
        <v>-117141.31699305633</v>
      </c>
      <c r="U27" s="36">
        <f>F27-'end of flow'!C28</f>
        <v>0</v>
      </c>
    </row>
    <row r="28" spans="1:21" x14ac:dyDescent="0.3">
      <c r="D28" s="36">
        <f>SUM(D2:D27)</f>
        <v>22525720.485366043</v>
      </c>
      <c r="E28" s="36">
        <f>SUM(E2:E27)</f>
        <v>22525720.485366043</v>
      </c>
      <c r="F28" s="36">
        <f>SUM(F2:F27)</f>
        <v>11565573.792340759</v>
      </c>
      <c r="G28" s="36">
        <f>SUM(G2:G27)</f>
        <v>117141.31699305633</v>
      </c>
      <c r="H28" s="36">
        <f t="shared" ref="H28:M28" si="3">SUM(H2:H27)</f>
        <v>380862.41694727371</v>
      </c>
      <c r="I28" s="36">
        <f t="shared" si="3"/>
        <v>326763.15968228929</v>
      </c>
      <c r="J28" s="36">
        <f t="shared" si="3"/>
        <v>9187554.440186752</v>
      </c>
      <c r="K28" s="36">
        <f t="shared" si="3"/>
        <v>83530.383205542064</v>
      </c>
      <c r="L28" s="36">
        <f t="shared" si="3"/>
        <v>0</v>
      </c>
      <c r="M28" s="36">
        <f t="shared" si="3"/>
        <v>864294.97601037193</v>
      </c>
      <c r="N28" s="36">
        <f>SUM(N2:N27)</f>
        <v>14249596.091987778</v>
      </c>
    </row>
    <row r="29" spans="1:21" x14ac:dyDescent="0.3">
      <c r="E29" s="36">
        <f>E28-I28</f>
        <v>22198957.325683754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92D2-80B5-4D50-B58E-FCEA298CCC87}">
  <sheetPr codeName="Sheet8"/>
  <dimension ref="A1:G33"/>
  <sheetViews>
    <sheetView zoomScale="90" zoomScaleNormal="90" workbookViewId="0">
      <selection activeCell="F26" sqref="F26"/>
    </sheetView>
  </sheetViews>
  <sheetFormatPr defaultRowHeight="14.4" x14ac:dyDescent="0.3"/>
  <cols>
    <col min="1" max="1" width="4.33203125" style="257" customWidth="1"/>
    <col min="2" max="2" width="43.6640625" style="257" bestFit="1" customWidth="1"/>
    <col min="3" max="3" width="16.33203125" style="257" customWidth="1"/>
    <col min="4" max="4" width="4.109375" style="257" customWidth="1"/>
    <col min="5" max="5" width="8.5546875" style="257" customWidth="1"/>
    <col min="6" max="6" width="12.44140625" style="257" customWidth="1"/>
    <col min="7" max="7" width="25.88671875" style="257" customWidth="1"/>
    <col min="8" max="8" width="14.44140625" style="257" customWidth="1"/>
    <col min="9" max="9" width="13.6640625" style="257" customWidth="1"/>
    <col min="10" max="10" width="11.5546875" style="257" customWidth="1"/>
    <col min="11" max="11" width="13.6640625" style="257" customWidth="1"/>
    <col min="12" max="17" width="8.88671875" style="257"/>
    <col min="18" max="18" width="17.33203125" style="257" bestFit="1" customWidth="1"/>
    <col min="19" max="16384" width="8.88671875" style="257"/>
  </cols>
  <sheetData>
    <row r="1" spans="1:7" ht="18" x14ac:dyDescent="0.35">
      <c r="A1" s="255"/>
      <c r="B1" s="558" t="str">
        <f>CONCATENATE("Code Compliance Inputs for ",'Policy Impact Dashboard'!$B$5,", ",'Policy Impact Dashboard'!$B$4," County")</f>
        <v>Code Compliance Inputs for z-All Alameda, Alameda County</v>
      </c>
      <c r="C1" s="559"/>
      <c r="D1" s="559"/>
      <c r="E1" s="560"/>
      <c r="F1" s="256"/>
      <c r="G1" s="255"/>
    </row>
    <row r="2" spans="1:7" ht="25.2" customHeight="1" x14ac:dyDescent="0.3">
      <c r="A2" s="258"/>
      <c r="B2" s="561" t="s">
        <v>134</v>
      </c>
      <c r="C2" s="562"/>
      <c r="D2" s="562"/>
      <c r="E2" s="562"/>
      <c r="F2" s="259"/>
      <c r="G2" s="259"/>
    </row>
    <row r="3" spans="1:7" ht="120" customHeight="1" x14ac:dyDescent="0.3">
      <c r="A3" s="260"/>
      <c r="B3" s="567" t="s">
        <v>560</v>
      </c>
      <c r="C3" s="567"/>
      <c r="D3" s="567"/>
      <c r="E3" s="567"/>
      <c r="F3" s="567"/>
      <c r="G3" s="568"/>
    </row>
    <row r="4" spans="1:7" x14ac:dyDescent="0.3">
      <c r="A4" s="261"/>
      <c r="B4" s="262" t="s">
        <v>170</v>
      </c>
      <c r="C4" s="288" t="s">
        <v>225</v>
      </c>
      <c r="D4" s="264"/>
      <c r="E4" s="265"/>
      <c r="F4" s="261"/>
    </row>
    <row r="5" spans="1:7" x14ac:dyDescent="0.3">
      <c r="A5" s="261"/>
      <c r="B5" s="262" t="s">
        <v>196</v>
      </c>
      <c r="C5" s="289">
        <v>3</v>
      </c>
      <c r="D5" s="264" t="s">
        <v>197</v>
      </c>
      <c r="E5" s="265"/>
      <c r="F5" s="261"/>
    </row>
    <row r="6" spans="1:7" x14ac:dyDescent="0.3">
      <c r="A6" s="261"/>
      <c r="B6" s="262" t="s">
        <v>172</v>
      </c>
      <c r="C6" s="290">
        <v>400</v>
      </c>
      <c r="D6" s="266"/>
      <c r="E6" s="265"/>
      <c r="F6" s="261"/>
    </row>
    <row r="7" spans="1:7" ht="15" thickBot="1" x14ac:dyDescent="0.35">
      <c r="A7" s="261"/>
      <c r="B7" s="267" t="s">
        <v>198</v>
      </c>
      <c r="C7" s="268">
        <f>'Policy Impact Dashboard'!D11</f>
        <v>0.3</v>
      </c>
      <c r="D7" s="269" t="s">
        <v>199</v>
      </c>
      <c r="E7" s="270">
        <f>'Policy Impact Dashboard'!E11</f>
        <v>0.9</v>
      </c>
      <c r="F7" s="261"/>
    </row>
    <row r="8" spans="1:7" ht="15" thickBot="1" x14ac:dyDescent="0.35">
      <c r="B8" s="271"/>
      <c r="C8" s="271"/>
      <c r="D8" s="272"/>
      <c r="E8" s="272"/>
    </row>
    <row r="9" spans="1:7" x14ac:dyDescent="0.3">
      <c r="A9" s="261"/>
      <c r="B9" s="273" t="s">
        <v>200</v>
      </c>
      <c r="C9" s="274" t="s">
        <v>59</v>
      </c>
      <c r="D9" s="261"/>
    </row>
    <row r="10" spans="1:7" x14ac:dyDescent="0.3">
      <c r="A10" s="261"/>
      <c r="B10" s="275" t="s">
        <v>145</v>
      </c>
      <c r="C10" s="276">
        <f>'Housing Stock Profile'!D14*(controls!$B$3)</f>
        <v>413326.49855931586</v>
      </c>
      <c r="D10" s="261"/>
    </row>
    <row r="11" spans="1:7" x14ac:dyDescent="0.3">
      <c r="A11" s="261"/>
      <c r="B11" s="277" t="s">
        <v>175</v>
      </c>
      <c r="C11" s="278">
        <f>('Housing Stock Profile'!D17*($C$4="Home resale")+'Housing Stock Profile'!D15/$C$5*($C$4="Rental")+('Housing Stock Profile'!D15/$C$5+'Housing Stock Profile'!D17)*($C$4="Resale and Rental")+'Housing Stock Profile'!D19*($C$4="Major renovation"))*(controls!$B$3)</f>
        <v>18931.728479919897</v>
      </c>
      <c r="D11" s="261"/>
    </row>
    <row r="12" spans="1:7" x14ac:dyDescent="0.3">
      <c r="A12" s="261"/>
      <c r="B12" s="277" t="s">
        <v>176</v>
      </c>
      <c r="C12" s="279">
        <f>C11*$C$6</f>
        <v>7572691.3919679588</v>
      </c>
      <c r="D12" s="261"/>
    </row>
    <row r="13" spans="1:7" x14ac:dyDescent="0.3">
      <c r="A13" s="258"/>
      <c r="B13" s="563" t="s">
        <v>201</v>
      </c>
      <c r="C13" s="564"/>
      <c r="D13" s="280"/>
    </row>
    <row r="14" spans="1:7" x14ac:dyDescent="0.3">
      <c r="A14" s="261"/>
      <c r="B14" s="281" t="s">
        <v>202</v>
      </c>
      <c r="C14" s="282">
        <f>($E$7-$C$7)*'Appliance Stock Profile'!G12</f>
        <v>4265.5294651321401</v>
      </c>
      <c r="D14" s="261"/>
    </row>
    <row r="15" spans="1:7" x14ac:dyDescent="0.3">
      <c r="A15" s="261"/>
      <c r="B15" s="281" t="s">
        <v>203</v>
      </c>
      <c r="C15" s="282">
        <f>($E$7-$C$7)*'Appliance Stock Profile'!G9</f>
        <v>9399.0445772388448</v>
      </c>
      <c r="D15" s="261"/>
    </row>
    <row r="16" spans="1:7" x14ac:dyDescent="0.3">
      <c r="A16" s="261"/>
      <c r="B16" s="281" t="s">
        <v>204</v>
      </c>
      <c r="C16" s="282">
        <f>($E$7-$C$7)*'Appliance Stock Profile'!G10</f>
        <v>20335.663729118343</v>
      </c>
      <c r="D16" s="261"/>
    </row>
    <row r="17" spans="1:7" x14ac:dyDescent="0.3">
      <c r="A17" s="258"/>
      <c r="B17" s="563" t="s">
        <v>205</v>
      </c>
      <c r="C17" s="564"/>
      <c r="D17" s="569" t="s">
        <v>561</v>
      </c>
      <c r="E17" s="570"/>
      <c r="F17" s="570"/>
      <c r="G17" s="571"/>
    </row>
    <row r="18" spans="1:7" x14ac:dyDescent="0.3">
      <c r="A18" s="261"/>
      <c r="B18" s="281" t="s">
        <v>178</v>
      </c>
      <c r="C18" s="265">
        <v>0</v>
      </c>
      <c r="D18" s="572"/>
      <c r="E18" s="573"/>
      <c r="F18" s="573"/>
      <c r="G18" s="574"/>
    </row>
    <row r="19" spans="1:7" x14ac:dyDescent="0.3">
      <c r="A19" s="261"/>
      <c r="B19" s="281" t="s">
        <v>179</v>
      </c>
      <c r="C19" s="265">
        <v>0</v>
      </c>
      <c r="D19" s="572"/>
      <c r="E19" s="573"/>
      <c r="F19" s="573"/>
      <c r="G19" s="574"/>
    </row>
    <row r="20" spans="1:7" x14ac:dyDescent="0.3">
      <c r="A20" s="261"/>
      <c r="B20" s="283" t="s">
        <v>180</v>
      </c>
      <c r="C20" s="284">
        <v>0</v>
      </c>
      <c r="D20" s="572"/>
      <c r="E20" s="573"/>
      <c r="F20" s="573"/>
      <c r="G20" s="574"/>
    </row>
    <row r="21" spans="1:7" x14ac:dyDescent="0.3">
      <c r="A21" s="261"/>
      <c r="B21" s="283" t="s">
        <v>151</v>
      </c>
      <c r="C21" s="284"/>
      <c r="D21" s="572"/>
      <c r="E21" s="573"/>
      <c r="F21" s="573"/>
      <c r="G21" s="574"/>
    </row>
    <row r="22" spans="1:7" x14ac:dyDescent="0.3">
      <c r="A22" s="258"/>
      <c r="B22" s="565" t="s">
        <v>206</v>
      </c>
      <c r="C22" s="566"/>
      <c r="D22" s="572"/>
      <c r="E22" s="573"/>
      <c r="F22" s="573"/>
      <c r="G22" s="574"/>
    </row>
    <row r="23" spans="1:7" x14ac:dyDescent="0.3">
      <c r="A23" s="261"/>
      <c r="B23" s="281" t="s">
        <v>153</v>
      </c>
      <c r="C23" s="265">
        <v>0</v>
      </c>
      <c r="D23" s="572"/>
      <c r="E23" s="573"/>
      <c r="F23" s="573"/>
      <c r="G23" s="574"/>
    </row>
    <row r="24" spans="1:7" x14ac:dyDescent="0.3">
      <c r="A24" s="261"/>
      <c r="B24" s="281" t="s">
        <v>154</v>
      </c>
      <c r="C24" s="265">
        <v>0</v>
      </c>
      <c r="D24" s="572"/>
      <c r="E24" s="573"/>
      <c r="F24" s="573"/>
      <c r="G24" s="574"/>
    </row>
    <row r="25" spans="1:7" x14ac:dyDescent="0.3">
      <c r="A25" s="261"/>
      <c r="B25" s="283" t="s">
        <v>155</v>
      </c>
      <c r="C25" s="285">
        <v>0</v>
      </c>
      <c r="D25" s="575"/>
      <c r="E25" s="576"/>
      <c r="F25" s="576"/>
      <c r="G25" s="577"/>
    </row>
    <row r="26" spans="1:7" x14ac:dyDescent="0.3">
      <c r="A26" s="258"/>
      <c r="B26" s="565" t="s">
        <v>207</v>
      </c>
      <c r="C26" s="566"/>
      <c r="D26" s="280"/>
    </row>
    <row r="27" spans="1:7" x14ac:dyDescent="0.3">
      <c r="A27" s="261"/>
      <c r="B27" s="281" t="s">
        <v>208</v>
      </c>
      <c r="C27" s="282">
        <f>(C$11*('MSA Data'!$E34*('Policy Impact Dashboard'!B4="Santa Clara")+('MSA Data'!$E27*(1-('Policy Impact Dashboard'!B4="Santa Clara")))))</f>
        <v>2070.9441609205692</v>
      </c>
      <c r="D27" s="261"/>
    </row>
    <row r="28" spans="1:7" x14ac:dyDescent="0.3">
      <c r="A28" s="261"/>
      <c r="B28" s="281" t="s">
        <v>209</v>
      </c>
      <c r="C28" s="282">
        <f>(C$11*('MSA Data'!$E35*('Policy Impact Dashboard'!B5="Santa Clara")+('MSA Data'!$E28*(1-('Policy Impact Dashboard'!B5="Santa Clara")))))</f>
        <v>264.21337746258001</v>
      </c>
      <c r="D28" s="261"/>
    </row>
    <row r="29" spans="1:7" x14ac:dyDescent="0.3">
      <c r="A29" s="261"/>
      <c r="B29" s="281" t="s">
        <v>210</v>
      </c>
      <c r="C29" s="282">
        <f>(C$11*('MSA Data'!$E36*('Policy Impact Dashboard'!B7="Santa Clara")+('MSA Data'!$E29*(1-('Policy Impact Dashboard'!B7="Santa Clara")))))</f>
        <v>262.68613250614891</v>
      </c>
      <c r="D29" s="261"/>
    </row>
    <row r="30" spans="1:7" x14ac:dyDescent="0.3">
      <c r="A30" s="261"/>
      <c r="B30" s="281" t="s">
        <v>211</v>
      </c>
      <c r="C30" s="282">
        <f>(C$11*('MSA Data'!$E37*('Policy Impact Dashboard'!B8="Santa Clara")+('MSA Data'!$E30*(1-('Policy Impact Dashboard'!B8="Santa Clara")))))</f>
        <v>0</v>
      </c>
      <c r="D30" s="261"/>
    </row>
    <row r="31" spans="1:7" x14ac:dyDescent="0.3">
      <c r="A31" s="261"/>
      <c r="B31" s="281" t="s">
        <v>212</v>
      </c>
      <c r="C31" s="282">
        <f>(C$11*('MSA Data'!$E38*('Policy Impact Dashboard'!B9="Santa Clara")+('MSA Data'!$E31*(1-('Policy Impact Dashboard'!B9="Santa Clara")))))</f>
        <v>334.46664545841048</v>
      </c>
      <c r="D31" s="261"/>
    </row>
    <row r="32" spans="1:7" ht="15" thickBot="1" x14ac:dyDescent="0.35">
      <c r="A32" s="261"/>
      <c r="B32" s="286" t="s">
        <v>213</v>
      </c>
      <c r="C32" s="287">
        <f>(C$11*('MSA Data'!$E39*('Policy Impact Dashboard'!B10="Santa Clara")+('MSA Data'!$E32*(1-('Policy Impact Dashboard'!B10="Santa Clara")))))</f>
        <v>1224.8504550577409</v>
      </c>
      <c r="D32" s="261"/>
    </row>
    <row r="33" spans="2:3" x14ac:dyDescent="0.3">
      <c r="B33" s="272"/>
      <c r="C33" s="272"/>
    </row>
  </sheetData>
  <mergeCells count="8">
    <mergeCell ref="B1:E1"/>
    <mergeCell ref="B2:E2"/>
    <mergeCell ref="B17:C17"/>
    <mergeCell ref="B22:C22"/>
    <mergeCell ref="B26:C26"/>
    <mergeCell ref="B13:C13"/>
    <mergeCell ref="B3:G3"/>
    <mergeCell ref="D17:G25"/>
  </mergeCells>
  <dataValidations count="3">
    <dataValidation type="whole" operator="greaterThan" allowBlank="1" showInputMessage="1" showErrorMessage="1" prompt="This parameter only impacts the number of annual home inspections if &quot;Rental&quot; or &quot;Resale and Rental&quot; is selected." sqref="C5" xr:uid="{E5497CA1-8BA9-4385-9DDF-A9DF04598BF0}">
      <formula1>0</formula1>
    </dataValidation>
    <dataValidation type="decimal" errorStyle="warning" allowBlank="1" showInputMessage="1" showErrorMessage="1" errorTitle="Out of Range Entry" error="DNVGL has found baseline compliance rate of 30% with Title 24 requirements for HVAC alterations" prompt="Set this parameter on the Policy Impact Dashboard." sqref="C7" xr:uid="{518AD222-4E96-41A8-9CDB-E9FCD2BB697D}">
      <formula1>0.3</formula1>
      <formula2>1</formula2>
    </dataValidation>
    <dataValidation type="decimal" allowBlank="1" showInputMessage="1" showErrorMessage="1" prompt="Set this parameter on the Policy Impact Dashboard." sqref="E7" xr:uid="{96B6277D-8BEC-49B4-BE88-262EF5FFCAF4}">
      <formula1>C7</formula1>
      <formula2>1</formula2>
    </dataValidation>
  </dataValidations>
  <hyperlinks>
    <hyperlink ref="B2:E2" location="'Policy Impact Dashboard'!A1" display="Back to Policy Impact Dashboard" xr:uid="{E94F8C7F-AE56-49F3-82D0-CBEE9966746F}"/>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FF4C879-7A1A-49CB-9931-9621E2E11F15}">
          <x14:formula1>
            <xm:f>lists!$E$2:$E$5</xm:f>
          </x14:formula1>
          <xm:sqref>C4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E2B5C-7A93-4F6D-A069-1BECE7510934}">
  <sheetPr codeName="Sheet9"/>
  <dimension ref="A1:BO69"/>
  <sheetViews>
    <sheetView topLeftCell="A7" zoomScale="90" zoomScaleNormal="90" workbookViewId="0">
      <selection activeCell="B68" sqref="B68"/>
    </sheetView>
  </sheetViews>
  <sheetFormatPr defaultRowHeight="14.4" x14ac:dyDescent="0.3"/>
  <cols>
    <col min="1" max="1" width="5.5546875" style="257" bestFit="1" customWidth="1"/>
    <col min="2" max="2" width="44.88671875" style="257" customWidth="1"/>
    <col min="3" max="3" width="16.77734375" style="257" customWidth="1"/>
    <col min="4" max="4" width="13.88671875" style="257" customWidth="1"/>
    <col min="5" max="5" width="24.33203125" style="257" customWidth="1"/>
    <col min="6" max="6" width="10.6640625" style="257" customWidth="1"/>
    <col min="7" max="7" width="11.5546875" style="257" customWidth="1"/>
    <col min="8" max="8" width="14.44140625" style="257" customWidth="1"/>
    <col min="9" max="9" width="13.6640625" style="257" customWidth="1"/>
    <col min="10" max="24" width="11.5546875" style="257" customWidth="1"/>
    <col min="25" max="31" width="10.109375" style="257" customWidth="1"/>
    <col min="32" max="34" width="9.44140625" style="257" bestFit="1" customWidth="1"/>
    <col min="35" max="35" width="9.44140625" style="257" customWidth="1"/>
    <col min="36" max="38" width="9.44140625" style="257" bestFit="1" customWidth="1"/>
    <col min="39" max="40" width="8.88671875" style="257"/>
    <col min="41" max="41" width="11.44140625" style="257" customWidth="1"/>
    <col min="42" max="44" width="8.88671875" style="257"/>
    <col min="45" max="45" width="10.21875" style="257" customWidth="1"/>
    <col min="46" max="46" width="11.5546875" style="257" customWidth="1"/>
    <col min="47" max="47" width="12.77734375" style="257" bestFit="1" customWidth="1"/>
    <col min="48" max="48" width="12" style="257" customWidth="1"/>
    <col min="49" max="49" width="11.33203125" style="257" bestFit="1" customWidth="1"/>
    <col min="50" max="50" width="8.88671875" style="257"/>
    <col min="51" max="51" width="10.109375" style="257" bestFit="1" customWidth="1"/>
    <col min="52" max="53" width="9.44140625" style="257" bestFit="1" customWidth="1"/>
    <col min="54" max="54" width="8.88671875" style="257"/>
    <col min="55" max="55" width="10.109375" style="257" bestFit="1" customWidth="1"/>
    <col min="56" max="56" width="10.109375" style="257" customWidth="1"/>
    <col min="57" max="57" width="12.5546875" style="257" customWidth="1"/>
    <col min="58" max="16384" width="8.88671875" style="257"/>
  </cols>
  <sheetData>
    <row r="1" spans="1:7" ht="18" x14ac:dyDescent="0.35">
      <c r="B1" s="584" t="str">
        <f>CONCATENATE("Energy Assessment Inputs for ",'Policy Impact Dashboard'!$B$5,", ",'Policy Impact Dashboard'!$B$4," County")</f>
        <v>Energy Assessment Inputs for z-All Alameda, Alameda County</v>
      </c>
      <c r="C1" s="584"/>
      <c r="E1" s="261"/>
      <c r="F1" s="256"/>
      <c r="G1" s="255"/>
    </row>
    <row r="2" spans="1:7" ht="18.600000000000001" customHeight="1" x14ac:dyDescent="0.3">
      <c r="B2" s="585" t="s">
        <v>134</v>
      </c>
      <c r="C2" s="585"/>
      <c r="E2" s="261"/>
      <c r="F2" s="255"/>
      <c r="G2" s="255"/>
    </row>
    <row r="3" spans="1:7" ht="93.6" customHeight="1" x14ac:dyDescent="0.3">
      <c r="A3" s="261"/>
      <c r="B3" s="595" t="s">
        <v>571</v>
      </c>
      <c r="C3" s="596"/>
      <c r="D3" s="596"/>
      <c r="E3" s="596"/>
      <c r="F3" s="291"/>
      <c r="G3" s="292"/>
    </row>
    <row r="4" spans="1:7" ht="8.4" customHeight="1" thickBot="1" x14ac:dyDescent="0.35">
      <c r="A4" s="261"/>
      <c r="B4" s="293"/>
      <c r="C4" s="294"/>
      <c r="D4" s="291"/>
      <c r="E4" s="291"/>
      <c r="F4" s="291"/>
      <c r="G4" s="292"/>
    </row>
    <row r="5" spans="1:7" ht="15" thickBot="1" x14ac:dyDescent="0.35">
      <c r="A5" s="261"/>
      <c r="B5" s="295" t="s">
        <v>135</v>
      </c>
      <c r="C5" s="355" t="s">
        <v>225</v>
      </c>
      <c r="D5" s="296"/>
      <c r="E5" s="297"/>
      <c r="F5" s="297"/>
      <c r="G5" s="261"/>
    </row>
    <row r="6" spans="1:7" ht="15" thickBot="1" x14ac:dyDescent="0.35">
      <c r="A6" s="261"/>
      <c r="B6" s="298" t="s">
        <v>137</v>
      </c>
      <c r="C6" s="356">
        <v>350</v>
      </c>
      <c r="D6" s="299"/>
      <c r="E6" s="297"/>
      <c r="F6" s="297"/>
      <c r="G6" s="261"/>
    </row>
    <row r="7" spans="1:7" ht="15" thickBot="1" x14ac:dyDescent="0.35">
      <c r="A7" s="261"/>
      <c r="B7" s="298" t="s">
        <v>552</v>
      </c>
      <c r="C7" s="356">
        <v>50</v>
      </c>
      <c r="D7" s="299"/>
      <c r="E7" s="297"/>
      <c r="F7" s="297"/>
      <c r="G7" s="261"/>
    </row>
    <row r="8" spans="1:7" ht="15" thickBot="1" x14ac:dyDescent="0.35">
      <c r="A8" s="261"/>
      <c r="B8" s="298" t="s">
        <v>139</v>
      </c>
      <c r="C8" s="356" t="s">
        <v>228</v>
      </c>
      <c r="D8" s="299"/>
      <c r="E8" s="297"/>
      <c r="F8" s="297"/>
      <c r="G8" s="261"/>
    </row>
    <row r="9" spans="1:7" ht="15" thickBot="1" x14ac:dyDescent="0.35">
      <c r="A9" s="261"/>
      <c r="B9" s="298" t="s">
        <v>141</v>
      </c>
      <c r="C9" s="357" t="s">
        <v>243</v>
      </c>
      <c r="D9" s="299"/>
      <c r="E9" s="297"/>
      <c r="F9" s="297"/>
      <c r="G9" s="261"/>
    </row>
    <row r="10" spans="1:7" ht="15" thickBot="1" x14ac:dyDescent="0.35">
      <c r="A10" s="261"/>
      <c r="B10" s="298" t="s">
        <v>143</v>
      </c>
      <c r="C10" s="300">
        <f>IF(ISBLANK(C11),30%*(C9="Listing")+10%*(1-(C9="Listing")),C11)</f>
        <v>0.1</v>
      </c>
      <c r="D10" s="299"/>
      <c r="E10" s="297"/>
      <c r="F10" s="297"/>
      <c r="G10" s="261"/>
    </row>
    <row r="11" spans="1:7" ht="15" thickBot="1" x14ac:dyDescent="0.35">
      <c r="A11" s="261"/>
      <c r="B11" s="298" t="s">
        <v>512</v>
      </c>
      <c r="C11" s="358"/>
      <c r="D11" s="299"/>
      <c r="E11" s="297"/>
      <c r="F11" s="297"/>
      <c r="G11" s="261"/>
    </row>
    <row r="12" spans="1:7" ht="15" thickBot="1" x14ac:dyDescent="0.35">
      <c r="A12" s="261"/>
      <c r="B12" s="301" t="s">
        <v>513</v>
      </c>
      <c r="C12" s="359">
        <v>0.15</v>
      </c>
      <c r="D12" s="299"/>
      <c r="E12" s="297"/>
      <c r="F12" s="297"/>
      <c r="G12" s="261"/>
    </row>
    <row r="13" spans="1:7" ht="15" thickBot="1" x14ac:dyDescent="0.35">
      <c r="A13" s="258"/>
      <c r="B13" s="586" t="s">
        <v>514</v>
      </c>
      <c r="C13" s="587"/>
      <c r="D13" s="299"/>
      <c r="E13" s="297"/>
      <c r="F13" s="297"/>
      <c r="G13" s="261"/>
    </row>
    <row r="14" spans="1:7" ht="15" thickBot="1" x14ac:dyDescent="0.35">
      <c r="A14" s="261"/>
      <c r="B14" s="302" t="s">
        <v>666</v>
      </c>
      <c r="C14" s="360">
        <v>0.05</v>
      </c>
      <c r="E14" s="297"/>
      <c r="F14" s="297"/>
      <c r="G14" s="261"/>
    </row>
    <row r="15" spans="1:7" ht="15" thickBot="1" x14ac:dyDescent="0.35">
      <c r="A15" s="261"/>
      <c r="B15" s="302" t="s">
        <v>667</v>
      </c>
      <c r="C15" s="360">
        <v>0.05</v>
      </c>
      <c r="E15" s="297"/>
      <c r="F15" s="297"/>
      <c r="G15" s="261"/>
    </row>
    <row r="16" spans="1:7" ht="15" thickBot="1" x14ac:dyDescent="0.35">
      <c r="A16" s="261"/>
      <c r="B16" s="303" t="s">
        <v>592</v>
      </c>
      <c r="C16" s="360">
        <v>0.05</v>
      </c>
      <c r="D16" s="299"/>
      <c r="E16" s="297"/>
      <c r="F16" s="297"/>
      <c r="G16" s="261"/>
    </row>
    <row r="17" spans="1:6" ht="15" thickBot="1" x14ac:dyDescent="0.35">
      <c r="B17" s="271"/>
      <c r="C17" s="271"/>
      <c r="D17" s="297"/>
      <c r="E17" s="297"/>
      <c r="F17" s="297"/>
    </row>
    <row r="18" spans="1:6" x14ac:dyDescent="0.3">
      <c r="A18" s="258"/>
      <c r="B18" s="304" t="s">
        <v>144</v>
      </c>
      <c r="C18" s="305" t="s">
        <v>59</v>
      </c>
      <c r="D18" s="306"/>
      <c r="E18" s="297"/>
      <c r="F18" s="261"/>
    </row>
    <row r="19" spans="1:6" x14ac:dyDescent="0.3">
      <c r="A19" s="258"/>
      <c r="B19" s="307" t="s">
        <v>145</v>
      </c>
      <c r="C19" s="308">
        <f>IF(NOT(AssessmentTrigger="Other"),'Housing Stock Profile'!$D$17*($C$5="Home resale")+'Housing Stock Profile'!$D$15*'Housing Stock Profile'!$F$20*($C$5="Rental")+('Housing Stock Profile'!$D$15*'Housing Stock Profile'!$F$20+'Housing Stock Profile'!$D$17)*($C$5="Resale and Rental")+'Housing Stock Profile'!$D$19*($C$5="Major renovation"),C20)</f>
        <v>18931.728479919897</v>
      </c>
      <c r="D19" s="309"/>
      <c r="E19" s="310"/>
      <c r="F19" s="261"/>
    </row>
    <row r="20" spans="1:6" x14ac:dyDescent="0.3">
      <c r="A20" s="258"/>
      <c r="B20" s="307" t="s">
        <v>557</v>
      </c>
      <c r="C20" s="361"/>
      <c r="D20" s="309" t="s">
        <v>573</v>
      </c>
      <c r="E20" s="310"/>
      <c r="F20" s="261"/>
    </row>
    <row r="21" spans="1:6" x14ac:dyDescent="0.3">
      <c r="A21" s="258"/>
      <c r="B21" s="311" t="s">
        <v>146</v>
      </c>
      <c r="C21" s="312">
        <f>C19*'Policy Impact Dashboard'!$E$12*TrueAssessment</f>
        <v>18931.728479919897</v>
      </c>
      <c r="D21" s="309"/>
      <c r="E21" s="310"/>
      <c r="F21" s="261"/>
    </row>
    <row r="22" spans="1:6" x14ac:dyDescent="0.3">
      <c r="A22" s="258"/>
      <c r="B22" s="311" t="s">
        <v>553</v>
      </c>
      <c r="C22" s="313">
        <f>C21*$C$6*($C$8="City Inspector")+C21*C7</f>
        <v>946586.42399599485</v>
      </c>
      <c r="D22" s="309"/>
      <c r="E22" s="310"/>
      <c r="F22" s="261"/>
    </row>
    <row r="23" spans="1:6" ht="15" thickBot="1" x14ac:dyDescent="0.35">
      <c r="A23" s="258"/>
      <c r="B23" s="311" t="s">
        <v>147</v>
      </c>
      <c r="C23" s="314">
        <f>C21*$C$10</f>
        <v>1893.1728479919898</v>
      </c>
      <c r="D23" s="315"/>
      <c r="E23" s="316"/>
      <c r="F23" s="261"/>
    </row>
    <row r="24" spans="1:6" ht="28.8" x14ac:dyDescent="0.3">
      <c r="A24" s="258"/>
      <c r="B24" s="317" t="s">
        <v>457</v>
      </c>
      <c r="C24" s="318"/>
      <c r="D24" s="319" t="s">
        <v>454</v>
      </c>
      <c r="E24" s="320" t="s">
        <v>455</v>
      </c>
      <c r="F24" s="261"/>
    </row>
    <row r="25" spans="1:6" x14ac:dyDescent="0.3">
      <c r="A25" s="258"/>
      <c r="B25" s="321" t="s">
        <v>148</v>
      </c>
      <c r="C25" s="322">
        <f t="shared" ref="C25:E26" si="0">IFERROR(1000*C29/AVERAGEIF($A$36:$A$61,"&gt;0",$K$36:$K$61),0)</f>
        <v>0</v>
      </c>
      <c r="D25" s="322">
        <f t="shared" si="0"/>
        <v>0</v>
      </c>
      <c r="E25" s="323">
        <f t="shared" si="0"/>
        <v>0</v>
      </c>
      <c r="F25" s="261"/>
    </row>
    <row r="26" spans="1:6" x14ac:dyDescent="0.3">
      <c r="A26" s="258"/>
      <c r="B26" s="321" t="s">
        <v>149</v>
      </c>
      <c r="C26" s="322">
        <f t="shared" si="0"/>
        <v>0</v>
      </c>
      <c r="D26" s="322">
        <f t="shared" si="0"/>
        <v>0</v>
      </c>
      <c r="E26" s="323">
        <f t="shared" si="0"/>
        <v>0</v>
      </c>
      <c r="F26" s="261"/>
    </row>
    <row r="27" spans="1:6" x14ac:dyDescent="0.3">
      <c r="A27" s="258"/>
      <c r="B27" s="324" t="s">
        <v>150</v>
      </c>
      <c r="C27" s="322">
        <f>IFERROR(C31/AVERAGEIF($A$36:$A$61,"&gt;0",$K$36:$K$61),0)</f>
        <v>0</v>
      </c>
      <c r="D27" s="322">
        <f>IFERROR(D31/AVERAGEIF($A$36:$A$61,"&gt;0",$K$36:$K$61),0)</f>
        <v>0</v>
      </c>
      <c r="E27" s="323">
        <f>IFERROR(E31/AVERAGEIF($A$36:$A$61,"&gt;0",$K$36:$K$61),0)</f>
        <v>0</v>
      </c>
      <c r="F27" s="261"/>
    </row>
    <row r="28" spans="1:6" ht="28.8" x14ac:dyDescent="0.3">
      <c r="A28" s="258"/>
      <c r="B28" s="317" t="s">
        <v>152</v>
      </c>
      <c r="C28" s="318"/>
      <c r="D28" s="325" t="s">
        <v>454</v>
      </c>
      <c r="E28" s="326" t="s">
        <v>455</v>
      </c>
      <c r="F28" s="261"/>
    </row>
    <row r="29" spans="1:6" x14ac:dyDescent="0.3">
      <c r="A29" s="258"/>
      <c r="B29" s="321" t="s">
        <v>153</v>
      </c>
      <c r="C29" s="314">
        <f>IF(TrueAssessment,IFERROR(-((SUMIF($A$36:$A$61,"&gt;0",$BB$36:$BB$61)+SUMIF($A$36:$A$61,"&gt;0",$BD$36:$BD$61))/COUNTIF($A$36:$A$61,"&gt;0"))/1000,0),0)*(ComplyAssessment-MIN(ComplyAssessment,BaseAssessment))/ComplyAssessment</f>
        <v>669.57043837385561</v>
      </c>
      <c r="D29" s="314">
        <f>IF(TrueAssessment,IFERROR(-((SUMIF($A$36:$A$61,"&gt;0",$BB$36:$BB$61))/COUNTIF($A$36:$A$61,"&gt;0"))/1000,0),0)*(ComplyAssessment-MIN(ComplyAssessment,BaseAssessment))/ComplyAssessment</f>
        <v>739.27112691180264</v>
      </c>
      <c r="E29" s="327">
        <f>IF(TrueAssessment,IFERROR(-((SUMIF($A$36:$A$61,"&gt;0",$BD$36:$BD$61))/COUNTIF($A$36:$A$61,"&gt;0"))/1000,0),0)*(ComplyAssessment-MIN(ComplyAssessment,BaseAssessment))/ComplyAssessment</f>
        <v>-69.700688537947087</v>
      </c>
      <c r="F29" s="261"/>
    </row>
    <row r="30" spans="1:6" x14ac:dyDescent="0.3">
      <c r="A30" s="258"/>
      <c r="B30" s="321" t="s">
        <v>154</v>
      </c>
      <c r="C30" s="314">
        <f>IF(TrueAssessment,IFERROR(-((SUMIF($A$36:$A$61,"&gt;0",$BA$36:$BA$61)+SUMIF($A$36:$A$61,"&gt;0",$BC$36:$BC$61))/COUNTIF($A$36:$A$61,"&gt;0"))/1000,0),0)*(ComplyAssessment-MIN(ComplyAssessment,BaseAssessment))/ComplyAssessment</f>
        <v>37.669156579058971</v>
      </c>
      <c r="D30" s="314">
        <f>IF(TrueAssessment,IFERROR(-((SUMIF($A$36:$A$61,"&gt;0",$BA$36:$BA$61))/COUNTIF($A$36:$A$61,"&gt;0"))/1000,0),0)*(ComplyAssessment-MIN(ComplyAssessment,BaseAssessment))/ComplyAssessment</f>
        <v>23.484099799233856</v>
      </c>
      <c r="E30" s="327">
        <f>IF(TrueAssessment,IFERROR(-((SUMIF($A$36:$A$61,"&gt;0",$BC$36:$BC$61))/COUNTIF($A$36:$A$61,"&gt;0"))/1000,0),0)*(ComplyAssessment-MIN(ComplyAssessment,BaseAssessment))/ComplyAssessment</f>
        <v>14.185056779825114</v>
      </c>
      <c r="F30" s="261"/>
    </row>
    <row r="31" spans="1:6" ht="15" thickBot="1" x14ac:dyDescent="0.35">
      <c r="A31" s="258"/>
      <c r="B31" s="328" t="s">
        <v>155</v>
      </c>
      <c r="C31" s="329">
        <f>IF(TrueAssessment,IFERROR(-SUMIF($A$36:$A$61,"&gt;0",$BE$36:$BE$61)/COUNTIF($A$36:$A$61,"&gt;0"),0),0)*(ComplyAssessment-MIN(ComplyAssessment,BaseAssessment))/ComplyAssessment</f>
        <v>207.63916731500674</v>
      </c>
      <c r="D31" s="329">
        <f>IF(TrueAssessment,IFERROR(1000*GasEmissions*D30+($C$31-1000*GasEmissions*$C$30)*D29/$C29,0),0)*(ComplyAssessment-MIN(ComplyAssessment,BaseAssessment))/ComplyAssessment</f>
        <v>133.2903809113877</v>
      </c>
      <c r="E31" s="330">
        <f>IF(TrueAssessment,IFERROR(1000*GasEmissions*E30+($C$31-1000*GasEmissions*$C$30)*E29/$C29,0),0)*(ComplyAssessment-MIN(ComplyAssessment,BaseAssessment))/ComplyAssessment</f>
        <v>74.34878640361903</v>
      </c>
      <c r="F31" s="261"/>
    </row>
    <row r="32" spans="1:6" x14ac:dyDescent="0.3">
      <c r="B32" s="272"/>
      <c r="C32" s="272"/>
      <c r="D32" s="272"/>
      <c r="E32" s="272"/>
    </row>
    <row r="33" spans="1:67" hidden="1" x14ac:dyDescent="0.3">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T33" s="331"/>
      <c r="AU33" s="331"/>
      <c r="AV33" s="331"/>
      <c r="AW33" s="331"/>
      <c r="AX33" s="331"/>
      <c r="AY33" s="331"/>
      <c r="AZ33" s="331"/>
      <c r="BA33" s="331"/>
      <c r="BB33" s="331"/>
      <c r="BC33" s="331"/>
      <c r="BD33" s="331"/>
      <c r="BE33" s="331"/>
    </row>
    <row r="34" spans="1:67" hidden="1" x14ac:dyDescent="0.3">
      <c r="B34" s="264"/>
      <c r="C34" s="264"/>
      <c r="D34" s="264"/>
      <c r="E34" s="264"/>
      <c r="F34" s="264"/>
      <c r="G34" s="264"/>
      <c r="H34" s="264"/>
      <c r="I34" s="264"/>
      <c r="J34" s="264"/>
      <c r="K34" s="264"/>
      <c r="L34" s="578" t="s">
        <v>593</v>
      </c>
      <c r="M34" s="579"/>
      <c r="N34" s="579"/>
      <c r="O34" s="579"/>
      <c r="P34" s="579"/>
      <c r="Q34" s="579"/>
      <c r="R34" s="579"/>
      <c r="S34" s="579"/>
      <c r="T34" s="579"/>
      <c r="U34" s="579"/>
      <c r="V34" s="580"/>
      <c r="W34" s="588" t="s">
        <v>536</v>
      </c>
      <c r="X34" s="589"/>
      <c r="Y34" s="589"/>
      <c r="Z34" s="589"/>
      <c r="AA34" s="589"/>
      <c r="AB34" s="589"/>
      <c r="AC34" s="590"/>
      <c r="AD34" s="591" t="s">
        <v>530</v>
      </c>
      <c r="AE34" s="592"/>
      <c r="AF34" s="592"/>
      <c r="AG34" s="592"/>
      <c r="AH34" s="592"/>
      <c r="AI34" s="592"/>
      <c r="AJ34" s="592"/>
      <c r="AK34" s="593" t="s">
        <v>531</v>
      </c>
      <c r="AL34" s="593"/>
      <c r="AM34" s="593"/>
      <c r="AN34" s="593"/>
      <c r="AO34" s="593"/>
      <c r="AP34" s="593"/>
      <c r="AQ34" s="594"/>
      <c r="AR34" s="581" t="s">
        <v>537</v>
      </c>
      <c r="AS34" s="582"/>
      <c r="AT34" s="582"/>
      <c r="AU34" s="582"/>
      <c r="AV34" s="582"/>
      <c r="AW34" s="582"/>
      <c r="AX34" s="583"/>
      <c r="AY34" s="332"/>
      <c r="AZ34" s="332"/>
      <c r="BA34" s="332"/>
      <c r="BB34" s="332"/>
      <c r="BC34" s="332"/>
      <c r="BD34" s="333"/>
      <c r="BE34" s="332"/>
      <c r="BF34" s="264"/>
      <c r="BG34" s="264"/>
      <c r="BH34" s="333"/>
      <c r="BI34" s="334"/>
      <c r="BJ34" s="335"/>
    </row>
    <row r="35" spans="1:67" ht="115.2" hidden="1" x14ac:dyDescent="0.3">
      <c r="B35" s="336" t="s">
        <v>110</v>
      </c>
      <c r="C35" s="336" t="s">
        <v>121</v>
      </c>
      <c r="D35" s="336" t="s">
        <v>640</v>
      </c>
      <c r="E35" s="336" t="s">
        <v>641</v>
      </c>
      <c r="F35" s="336" t="s">
        <v>633</v>
      </c>
      <c r="G35" s="336" t="s">
        <v>634</v>
      </c>
      <c r="H35" s="336" t="s">
        <v>638</v>
      </c>
      <c r="I35" s="336" t="s">
        <v>635</v>
      </c>
      <c r="J35" s="336" t="s">
        <v>636</v>
      </c>
      <c r="K35" s="337" t="s">
        <v>637</v>
      </c>
      <c r="L35" s="337" t="s">
        <v>639</v>
      </c>
      <c r="M35" s="337" t="s">
        <v>158</v>
      </c>
      <c r="N35" s="338" t="s">
        <v>595</v>
      </c>
      <c r="O35" s="338" t="s">
        <v>597</v>
      </c>
      <c r="P35" s="338" t="s">
        <v>114</v>
      </c>
      <c r="Q35" s="338" t="s">
        <v>115</v>
      </c>
      <c r="R35" s="338" t="s">
        <v>116</v>
      </c>
      <c r="S35" s="338" t="s">
        <v>117</v>
      </c>
      <c r="T35" s="338" t="s">
        <v>118</v>
      </c>
      <c r="U35" s="338" t="s">
        <v>594</v>
      </c>
      <c r="V35" s="338" t="s">
        <v>595</v>
      </c>
      <c r="W35" s="338" t="s">
        <v>596</v>
      </c>
      <c r="X35" s="338" t="s">
        <v>597</v>
      </c>
      <c r="Y35" s="339" t="s">
        <v>470</v>
      </c>
      <c r="Z35" s="339" t="s">
        <v>471</v>
      </c>
      <c r="AA35" s="339" t="s">
        <v>472</v>
      </c>
      <c r="AB35" s="339" t="s">
        <v>469</v>
      </c>
      <c r="AC35" s="339" t="s">
        <v>473</v>
      </c>
      <c r="AD35" s="339" t="s">
        <v>474</v>
      </c>
      <c r="AE35" s="339" t="s">
        <v>475</v>
      </c>
      <c r="AF35" s="340" t="s">
        <v>486</v>
      </c>
      <c r="AG35" s="340" t="s">
        <v>487</v>
      </c>
      <c r="AH35" s="340" t="s">
        <v>488</v>
      </c>
      <c r="AI35" s="340" t="s">
        <v>489</v>
      </c>
      <c r="AJ35" s="340" t="s">
        <v>490</v>
      </c>
      <c r="AK35" s="340" t="s">
        <v>491</v>
      </c>
      <c r="AL35" s="340" t="s">
        <v>492</v>
      </c>
      <c r="AM35" s="341" t="s">
        <v>493</v>
      </c>
      <c r="AN35" s="341" t="s">
        <v>494</v>
      </c>
      <c r="AO35" s="341" t="s">
        <v>495</v>
      </c>
      <c r="AP35" s="341" t="s">
        <v>496</v>
      </c>
      <c r="AQ35" s="341" t="s">
        <v>497</v>
      </c>
      <c r="AR35" s="341" t="s">
        <v>498</v>
      </c>
      <c r="AS35" s="341" t="s">
        <v>499</v>
      </c>
      <c r="AT35" s="339" t="s">
        <v>477</v>
      </c>
      <c r="AU35" s="339" t="s">
        <v>478</v>
      </c>
      <c r="AV35" s="339" t="s">
        <v>479</v>
      </c>
      <c r="AW35" s="339" t="s">
        <v>480</v>
      </c>
      <c r="AX35" s="339" t="s">
        <v>481</v>
      </c>
      <c r="AY35" s="339" t="s">
        <v>482</v>
      </c>
      <c r="AZ35" s="339" t="s">
        <v>483</v>
      </c>
      <c r="BA35" s="336" t="s">
        <v>159</v>
      </c>
      <c r="BB35" s="336" t="s">
        <v>160</v>
      </c>
      <c r="BC35" s="336" t="s">
        <v>161</v>
      </c>
      <c r="BD35" s="336" t="s">
        <v>162</v>
      </c>
      <c r="BE35" s="336" t="s">
        <v>119</v>
      </c>
      <c r="BF35" s="336" t="s">
        <v>120</v>
      </c>
      <c r="BG35" s="336" t="s">
        <v>122</v>
      </c>
      <c r="BH35" s="337" t="s">
        <v>163</v>
      </c>
      <c r="BI35" s="337" t="s">
        <v>164</v>
      </c>
      <c r="BJ35" s="336" t="s">
        <v>121</v>
      </c>
      <c r="BK35" s="339" t="s">
        <v>251</v>
      </c>
      <c r="BL35" s="336" t="s">
        <v>444</v>
      </c>
      <c r="BM35" s="209" t="s">
        <v>620</v>
      </c>
      <c r="BN35" s="83" t="s">
        <v>619</v>
      </c>
      <c r="BO35" s="83" t="s">
        <v>618</v>
      </c>
    </row>
    <row r="36" spans="1:67" hidden="1" x14ac:dyDescent="0.3">
      <c r="A36" s="257">
        <f t="shared" ref="A36:A61" si="1">(B36&gt;=StartAssessment)*1</f>
        <v>0</v>
      </c>
      <c r="B36" s="342">
        <v>2020</v>
      </c>
      <c r="C36" s="343">
        <f>'NC Reach Code Impacts'!D3</f>
        <v>413326.49855931586</v>
      </c>
      <c r="D36" s="343">
        <f t="shared" ref="D36:D61" si="2">C36*RentalRate</f>
        <v>128272.59115502487</v>
      </c>
      <c r="E36" s="343">
        <f t="shared" ref="E36:E61" si="3">C36*OwnerRate</f>
        <v>285053.90740429098</v>
      </c>
      <c r="F36" s="344">
        <f>$D36*((AssessmentTrigger="Rental")+(AssessmentTrigger="Resale and rental"))*MoveRate</f>
        <v>0</v>
      </c>
      <c r="G36" s="344">
        <f>$E36*((AssessmentTrigger="Home resale")+(AssessmentTrigger="Resale and rental"))*HomeResaleRate</f>
        <v>13056.417132529459</v>
      </c>
      <c r="H36" s="344">
        <f>$C36*(AssessmentTrigger="Major renovation")*RenovationRate+$C$20*(AssessmentTrigger="Other")</f>
        <v>0</v>
      </c>
      <c r="I36" s="344">
        <f t="shared" ref="I36:I61" si="4">$F36*(MIN(BaseAssessment,ComplyAssessment)+(ComplyAssessment-MIN(BaseAssessment,ComplyAssessment))*TrueAssessment*($B36&gt;=StartAssessment))</f>
        <v>0</v>
      </c>
      <c r="J36" s="344">
        <f t="shared" ref="J36:J61" si="5">$G36*(MIN(BaseAssessment,ComplyAssessment)+(ComplyAssessment-MIN(BaseAssessment,ComplyAssessment))*TrueAssessment*($B36&gt;=StartAssessment))</f>
        <v>0</v>
      </c>
      <c r="K36" s="344">
        <f t="shared" ref="K36:K61" si="6">$H36*(MIN(BaseAssessment,ComplyAssessment)+(ComplyAssessment-MIN(BaseAssessment,ComplyAssessment))*TrueAssessment*($B36&gt;=StartAssessment))</f>
        <v>0</v>
      </c>
      <c r="L36" s="344">
        <f>I36+J36+K36</f>
        <v>0</v>
      </c>
      <c r="M36" s="344">
        <f t="shared" ref="M36:M61" si="7">AssessmentConversionRate*L36</f>
        <v>0</v>
      </c>
      <c r="N36" s="345">
        <f>-MIN(AssessmentConvertFurnace+AssessmentConvertHouse,1)*('NC Reach Code Impacts'!T3/C36)*M36</f>
        <v>0</v>
      </c>
      <c r="O36" s="345">
        <f>-MIN(AssessmentConvertDHW+AssessmentConvertHouse,1)*('NC Reach Code Impacts'!U3/C36)*$M36</f>
        <v>0</v>
      </c>
      <c r="P36" s="345">
        <f t="shared" ref="P36:P61" si="8">-AssessmentConvertHouse*M36</f>
        <v>0</v>
      </c>
      <c r="Q36" s="345">
        <f>('NC Reach Code Impacts'!AD3/('NC Reach Code Impacts'!T3+'NC Reach Code Impacts'!M3))*R36</f>
        <v>0</v>
      </c>
      <c r="R36" s="345">
        <f>-N36</f>
        <v>0</v>
      </c>
      <c r="S36" s="345">
        <f>-O36</f>
        <v>0</v>
      </c>
      <c r="T36" s="346">
        <v>0</v>
      </c>
      <c r="U36" s="345">
        <f>$N36*('NC Reach Code Impacts'!$M3/('NC Reach Code Impacts'!$M3+'NC Reach Code Impacts'!$T3))</f>
        <v>0</v>
      </c>
      <c r="V36" s="345">
        <f>$N36*('NC Reach Code Impacts'!$T3/('NC Reach Code Impacts'!$M3+'NC Reach Code Impacts'!$T3))</f>
        <v>0</v>
      </c>
      <c r="W36" s="345">
        <f>O36-X36</f>
        <v>0</v>
      </c>
      <c r="X36" s="345">
        <f>$O36*('NC Reach Code Impacts'!$U3/('NC Reach Code Impacts'!$N3+'NC Reach Code Impacts'!$U3))</f>
        <v>0</v>
      </c>
      <c r="Y36" s="347">
        <f>MAX($M36*'NC Reach Code Impacts'!$T3/'NC Reach Code Impacts'!$D3+N36,0)</f>
        <v>0</v>
      </c>
      <c r="Z36" s="347">
        <f>MAX($M36*'NC Reach Code Impacts'!$U3/'NC Reach Code Impacts'!$D3+O36,0)</f>
        <v>0</v>
      </c>
      <c r="AA36" s="347">
        <f>M36+P36</f>
        <v>0</v>
      </c>
      <c r="AB36" s="347">
        <f>$M36*'NC Reach Code Impacts'!$W3/'NC Reach Code Impacts'!$D3</f>
        <v>0</v>
      </c>
      <c r="AC36" s="347">
        <f>$M36*'NC Reach Code Impacts'!$X3/'NC Reach Code Impacts'!$D3</f>
        <v>0</v>
      </c>
      <c r="AD36" s="347">
        <f>$M36*'NC Reach Code Impacts'!$Y3/'NC Reach Code Impacts'!$D3</f>
        <v>0</v>
      </c>
      <c r="AE36" s="347">
        <f>M36</f>
        <v>0</v>
      </c>
      <c r="AF36" s="344">
        <f>'NC Reach Code Impacts'!M3</f>
        <v>15665.074295398073</v>
      </c>
      <c r="AG36" s="344">
        <f>'NC Reach Code Impacts'!N3</f>
        <v>33892.772881863901</v>
      </c>
      <c r="AH36" s="344">
        <f>'NC Reach Code Impacts'!O3</f>
        <v>0</v>
      </c>
      <c r="AI36" s="344">
        <f>'NC Reach Code Impacts'!P3+SUM(Q$36:Q36)</f>
        <v>7109.2157752202329</v>
      </c>
      <c r="AJ36" s="344">
        <f>'NC Reach Code Impacts'!Q3+SUM(R$36:R36)</f>
        <v>6668.3341767569618</v>
      </c>
      <c r="AK36" s="344">
        <f>'NC Reach Code Impacts'!R3+SUM(S$36:S36)</f>
        <v>4050.5996858812928</v>
      </c>
      <c r="AL36" s="344">
        <f>'NC Reach Code Impacts'!S3</f>
        <v>0</v>
      </c>
      <c r="AM36" s="348">
        <f>MAX('NC Reach Code Impacts'!T3+SUM(N$36:N36),0)</f>
        <v>297636.41161256336</v>
      </c>
      <c r="AN36" s="348">
        <f>MAX('NC Reach Code Impacts'!U3+SUM(O$36:O36),0)</f>
        <v>338927.72881863907</v>
      </c>
      <c r="AO36" s="348">
        <f>MAX('NC Reach Code Impacts'!V3+SUM(P$36:P36),0)</f>
        <v>413326.49855931586</v>
      </c>
      <c r="AP36" s="348">
        <f>'NC Reach Code Impacts'!W3</f>
        <v>99529.020853083261</v>
      </c>
      <c r="AQ36" s="348">
        <f>'NC Reach Code Impacts'!X3</f>
        <v>93356.678474597458</v>
      </c>
      <c r="AR36" s="348">
        <f>'NC Reach Code Impacts'!Y3</f>
        <v>36455.397172931633</v>
      </c>
      <c r="AS36" s="348">
        <f>'NC Reach Code Impacts'!Z3</f>
        <v>413326.49855931586</v>
      </c>
      <c r="AT36" s="349">
        <f>MAX(AM36-SUM(Y$36:Y36),0)</f>
        <v>297636.41161256336</v>
      </c>
      <c r="AU36" s="349">
        <f>MAX(AN36-SUM(Z$36:Z36),0)</f>
        <v>338927.72881863907</v>
      </c>
      <c r="AV36" s="349">
        <f>MAX(AO36-SUM(AA$36:AA36),0)</f>
        <v>413326.49855931586</v>
      </c>
      <c r="AW36" s="349">
        <f>MAX(AP36-SUM(AB$36:AB36),0)</f>
        <v>99529.020853083261</v>
      </c>
      <c r="AX36" s="349">
        <f>MAX(AQ36-SUM(AC$36:AC36),0)</f>
        <v>93356.678474597458</v>
      </c>
      <c r="AY36" s="349">
        <f>MAX(AR36-SUM(AD$36:AD36),0)</f>
        <v>36455.397172931633</v>
      </c>
      <c r="AZ36" s="349">
        <f>MAX(AS36-SUM(AE$36:AE36),0)</f>
        <v>413326.49855931586</v>
      </c>
      <c r="BA36" s="344">
        <f t="shared" ref="BA36:BA61" si="9">-AssessmentEEImprovement*SUMPRODUCT(Y36:AA36,GasUECs)</f>
        <v>0</v>
      </c>
      <c r="BB36" s="344">
        <f t="shared" ref="BB36:BB61" si="10">-AssessmentEEImprovement*SUMPRODUCT(AB36:AE36,ElecUECs)</f>
        <v>0</v>
      </c>
      <c r="BC36" s="344">
        <f>U36*'Appliance Stock Profile'!$B$21+V36*'Appliance Stock Profile'!$B$20+W36*'Appliance Stock Profile'!$C$21+X36*'Appliance Stock Profile'!$C$20+P36*'Appliance Stock Profile'!$D$20</f>
        <v>0</v>
      </c>
      <c r="BD36" s="344">
        <f t="shared" ref="BD36:BD61" si="11">SUMPRODUCT(Q36:T36,ElecUEC_NEW)</f>
        <v>0</v>
      </c>
      <c r="BE36" s="344">
        <f>GasEmissions*(BA36+BC36)+'stock-flow model'!$B2*(BB36+BD36)/1000</f>
        <v>0</v>
      </c>
      <c r="BF36" s="344">
        <f>GasEmissions*(SUM($BA$36:$BA36)+SUM($BC$36:$BC36))+'stock-flow model'!$B2*(SUM($BB$36:$BB36)+SUM($BD$36:$BD36))/1000</f>
        <v>0</v>
      </c>
      <c r="BG36" s="343">
        <f>'NC Reach Code Impacts'!AC3+BF36</f>
        <v>1096122.7763067521</v>
      </c>
      <c r="BH36" s="344">
        <f t="shared" ref="BH36:BH61" si="12">(AM36+AQ36-AP36)+(AF36+AJ36-AI36)</f>
        <v>306688.26193101238</v>
      </c>
      <c r="BI36" s="344">
        <f t="shared" ref="BI36:BI61" si="13">(AP36-AQ36)+(AI36-AJ36)</f>
        <v>6613.2239769490734</v>
      </c>
      <c r="BJ36" s="344">
        <f t="shared" ref="BJ36:BJ61" si="14">AO36</f>
        <v>413326.49855931586</v>
      </c>
      <c r="BK36" s="347">
        <f>'NC Reach Code Impacts'!E3-SUM(P$36:P36)</f>
        <v>0</v>
      </c>
      <c r="BL36" s="350">
        <f t="shared" ref="BL36:BL61" si="15">AV36</f>
        <v>413326.49855931586</v>
      </c>
      <c r="BM36" s="36">
        <v>0</v>
      </c>
      <c r="BN36" s="36">
        <f>BM36</f>
        <v>0</v>
      </c>
      <c r="BO36" s="36">
        <f>BF36-BN36</f>
        <v>0</v>
      </c>
    </row>
    <row r="37" spans="1:67" hidden="1" x14ac:dyDescent="0.3">
      <c r="A37" s="257">
        <f t="shared" si="1"/>
        <v>0</v>
      </c>
      <c r="B37" s="342">
        <v>2021</v>
      </c>
      <c r="C37" s="343">
        <f>'NC Reach Code Impacts'!D4+SUM(P$36:P36)</f>
        <v>413326.49855931586</v>
      </c>
      <c r="D37" s="343">
        <f t="shared" si="2"/>
        <v>128272.59115502487</v>
      </c>
      <c r="E37" s="343">
        <f t="shared" si="3"/>
        <v>285053.90740429098</v>
      </c>
      <c r="F37" s="344">
        <f>($D37-SUM($I$36:$I36))*((AssessmentTrigger="Rental")+(AssessmentTrigger="Resale and rental"))*MoveRate</f>
        <v>0</v>
      </c>
      <c r="G37" s="344">
        <f>($E37-SUM($J$36:$J36))*((AssessmentTrigger="Home resale")+(AssessmentTrigger="Resale and rental"))*HomeResaleRate</f>
        <v>13056.417132529459</v>
      </c>
      <c r="H37" s="344">
        <f>($C37-SUM($K$36:$K36))*(AssessmentTrigger="Major renovation")*RenovationRate+$C$20*(AssessmentTrigger="Other")</f>
        <v>0</v>
      </c>
      <c r="I37" s="344">
        <f t="shared" si="4"/>
        <v>0</v>
      </c>
      <c r="J37" s="344">
        <f t="shared" si="5"/>
        <v>0</v>
      </c>
      <c r="K37" s="344">
        <f t="shared" si="6"/>
        <v>0</v>
      </c>
      <c r="L37" s="344">
        <f t="shared" ref="L37:L61" si="16">I37+J37+K37</f>
        <v>0</v>
      </c>
      <c r="M37" s="344">
        <f t="shared" si="7"/>
        <v>0</v>
      </c>
      <c r="N37" s="345">
        <f>-MIN(AssessmentConvertFurnace+AssessmentConvertHouse,1)*(MAX(('NC Reach Code Impacts'!T4+SUM(N$36:N36)),0)/C37)*M37</f>
        <v>0</v>
      </c>
      <c r="O37" s="345">
        <f>-MIN(AssessmentConvertDHW+AssessmentConvertHouse,1)*(MAX(('NC Reach Code Impacts'!U4+SUM(O$36:O36)),0)/C37)*$M37</f>
        <v>0</v>
      </c>
      <c r="P37" s="345">
        <f t="shared" si="8"/>
        <v>0</v>
      </c>
      <c r="Q37" s="345">
        <f>('NC Reach Code Impacts'!AD4/('NC Reach Code Impacts'!T4+'NC Reach Code Impacts'!M4))*R37</f>
        <v>0</v>
      </c>
      <c r="R37" s="345">
        <f t="shared" ref="R37:S61" si="17">-N37</f>
        <v>0</v>
      </c>
      <c r="S37" s="345">
        <f t="shared" si="17"/>
        <v>0</v>
      </c>
      <c r="T37" s="346">
        <v>0</v>
      </c>
      <c r="U37" s="345">
        <f>N37-V37</f>
        <v>0</v>
      </c>
      <c r="V37" s="345">
        <f>$N37*('NC Reach Code Impacts'!$T4+SUM(V$36:V36))/('NC Reach Code Impacts'!$M4+'NC Reach Code Impacts'!$T4+SUM(N$36:N36))</f>
        <v>0</v>
      </c>
      <c r="W37" s="345">
        <f t="shared" ref="W37:W61" si="18">O37-X37</f>
        <v>0</v>
      </c>
      <c r="X37" s="345">
        <f>$O37*('NC Reach Code Impacts'!$U4+SUM(X$36:X36))/('NC Reach Code Impacts'!$N4+'NC Reach Code Impacts'!$U4+SUM(O$36:O36))</f>
        <v>0</v>
      </c>
      <c r="Y37" s="347">
        <f>MAX(M37*'NC Reach Code Impacts'!T4/'NC Reach Code Impacts'!D4+N37,0)</f>
        <v>0</v>
      </c>
      <c r="Z37" s="347">
        <f>MAX($M37*'NC Reach Code Impacts'!U4/'NC Reach Code Impacts'!$D4+O37,0)</f>
        <v>0</v>
      </c>
      <c r="AA37" s="347">
        <f t="shared" ref="AA37:AA61" si="19">M37+P37</f>
        <v>0</v>
      </c>
      <c r="AB37" s="347">
        <f>MAX($M37*('NC Reach Code Impacts'!W4-SUM(AB$36:AB36))/'NC Reach Code Impacts'!$D4,0)</f>
        <v>0</v>
      </c>
      <c r="AC37" s="347">
        <f>MAX($M37*('NC Reach Code Impacts'!X4-SUM(AC$36:AC36))/'NC Reach Code Impacts'!$D4,0)</f>
        <v>0</v>
      </c>
      <c r="AD37" s="347">
        <f>MAX($M37*('NC Reach Code Impacts'!Y4-SUM(AD$36:AD36))/'NC Reach Code Impacts'!$D4,0)</f>
        <v>0</v>
      </c>
      <c r="AE37" s="347">
        <f t="shared" ref="AE37:AE61" si="20">M37</f>
        <v>0</v>
      </c>
      <c r="AF37" s="344">
        <f>'NC Reach Code Impacts'!M4</f>
        <v>30546.894876026243</v>
      </c>
      <c r="AG37" s="344">
        <f>'NC Reach Code Impacts'!N4</f>
        <v>64704.384592649272</v>
      </c>
      <c r="AH37" s="344">
        <f>'NC Reach Code Impacts'!O4</f>
        <v>0</v>
      </c>
      <c r="AI37" s="344">
        <f>'NC Reach Code Impacts'!P4+SUM(Q$36:Q37)</f>
        <v>15345.374619002388</v>
      </c>
      <c r="AJ37" s="344">
        <f>'NC Reach Code Impacts'!Q4+SUM(R$36:R37)</f>
        <v>14493.003528640065</v>
      </c>
      <c r="AK37" s="344">
        <f>'NC Reach Code Impacts'!R4+SUM(S$36:S37)</f>
        <v>9297.0301900843951</v>
      </c>
      <c r="AL37" s="344">
        <f>'NC Reach Code Impacts'!S4</f>
        <v>1600.8907869099392</v>
      </c>
      <c r="AM37" s="348">
        <f>MAX('NC Reach Code Impacts'!T4+SUM(N$36:N37),0)</f>
        <v>282754.59103193518</v>
      </c>
      <c r="AN37" s="348">
        <f>MAX('NC Reach Code Impacts'!U4+SUM(O$36:O37),0)</f>
        <v>308116.11710785364</v>
      </c>
      <c r="AO37" s="348">
        <f>MAX('NC Reach Code Impacts'!V4+SUM(P$36:P37),0)</f>
        <v>413326.49855931586</v>
      </c>
      <c r="AP37" s="348">
        <f>'NC Reach Code Impacts'!W4</f>
        <v>92893.752796211047</v>
      </c>
      <c r="AQ37" s="348">
        <f>'NC Reach Code Impacts'!X4</f>
        <v>87132.899909624306</v>
      </c>
      <c r="AR37" s="348">
        <f>'NC Reach Code Impacts'!Y4</f>
        <v>32809.85745563847</v>
      </c>
      <c r="AS37" s="348">
        <f>'NC Reach Code Impacts'!Z4</f>
        <v>413326.49855931586</v>
      </c>
      <c r="AT37" s="349">
        <f>MAX(AM37-SUM(Y$36:Y37),0)</f>
        <v>282754.59103193518</v>
      </c>
      <c r="AU37" s="349">
        <f>MAX(AN37-SUM(Z$36:Z37),0)</f>
        <v>308116.11710785364</v>
      </c>
      <c r="AV37" s="349">
        <f>MAX(AO37-SUM(AA$36:AA37),0)</f>
        <v>413326.49855931586</v>
      </c>
      <c r="AW37" s="349">
        <f>MAX(AP37-SUM(AB$36:AB37),0)</f>
        <v>92893.752796211047</v>
      </c>
      <c r="AX37" s="349">
        <f>MAX(AQ37-SUM(AC$36:AC37),0)</f>
        <v>87132.899909624306</v>
      </c>
      <c r="AY37" s="349">
        <f>MAX(AR37-SUM(AD$36:AD37),0)</f>
        <v>32809.85745563847</v>
      </c>
      <c r="AZ37" s="349">
        <f>MAX(AS37-SUM(AE$36:AE37),0)</f>
        <v>413326.49855931586</v>
      </c>
      <c r="BA37" s="344">
        <f t="shared" si="9"/>
        <v>0</v>
      </c>
      <c r="BB37" s="344">
        <f t="shared" si="10"/>
        <v>0</v>
      </c>
      <c r="BC37" s="344">
        <f>U37*'Appliance Stock Profile'!$B$21+V37*'Appliance Stock Profile'!$B$20+W37*'Appliance Stock Profile'!$C$21+X37*'Appliance Stock Profile'!$C$20+P37*'Appliance Stock Profile'!$D$20</f>
        <v>0</v>
      </c>
      <c r="BD37" s="344">
        <f t="shared" si="11"/>
        <v>0</v>
      </c>
      <c r="BE37" s="344">
        <f>GasEmissions*(BA37+BC37)+'stock-flow model'!$B3*(BB37+BD37)/1000</f>
        <v>0</v>
      </c>
      <c r="BF37" s="344">
        <f>GasEmissions*(SUM($BA$36:$BA37)+SUM($BC$36:$BC37))+'stock-flow model'!$B3*(SUM($BB$36:$BB37)+SUM($BD$36:$BD37))/1000</f>
        <v>0</v>
      </c>
      <c r="BG37" s="343">
        <f>'NC Reach Code Impacts'!AC4+BF37</f>
        <v>1060934.5405731951</v>
      </c>
      <c r="BH37" s="344">
        <f t="shared" si="12"/>
        <v>306688.26193101238</v>
      </c>
      <c r="BI37" s="344">
        <f t="shared" si="13"/>
        <v>6613.2239769490643</v>
      </c>
      <c r="BJ37" s="344">
        <f t="shared" si="14"/>
        <v>413326.49855931586</v>
      </c>
      <c r="BK37" s="347">
        <f>'NC Reach Code Impacts'!E4-SUM(P$36:P37)</f>
        <v>1600.8907869099392</v>
      </c>
      <c r="BL37" s="350">
        <f t="shared" si="15"/>
        <v>413326.49855931586</v>
      </c>
      <c r="BM37" s="36">
        <f t="shared" ref="BM37:BM61" si="21">IFERROR(IF(B37&gt;=StartAssessment,(ComplyAssessment-MIN(ComplyAssessment,BaseAssessment))*(BF37-BF36)/ComplyAssessment,0),0)*TrueAssessment</f>
        <v>0</v>
      </c>
      <c r="BN37" s="36">
        <f>BN36+BM37</f>
        <v>0</v>
      </c>
      <c r="BO37" s="36">
        <f>BF37-BN37</f>
        <v>0</v>
      </c>
    </row>
    <row r="38" spans="1:67" hidden="1" x14ac:dyDescent="0.3">
      <c r="A38" s="257">
        <f t="shared" si="1"/>
        <v>1</v>
      </c>
      <c r="B38" s="342">
        <v>2022</v>
      </c>
      <c r="C38" s="343">
        <f>'NC Reach Code Impacts'!D5+SUM(P$36:P37)</f>
        <v>413326.49855931592</v>
      </c>
      <c r="D38" s="343">
        <f t="shared" si="2"/>
        <v>128272.5911550249</v>
      </c>
      <c r="E38" s="343">
        <f t="shared" si="3"/>
        <v>285053.90740429104</v>
      </c>
      <c r="F38" s="344">
        <f>($D38-SUM($I$36:$I37))*((AssessmentTrigger="Rental")+(AssessmentTrigger="Resale and rental"))*MoveRate</f>
        <v>0</v>
      </c>
      <c r="G38" s="344">
        <f>($E38-SUM($J$36:$J37))*((AssessmentTrigger="Home resale")+(AssessmentTrigger="Resale and rental"))*HomeResaleRate</f>
        <v>13056.417132529461</v>
      </c>
      <c r="H38" s="344">
        <f>($C38-SUM($K$36:$K37))*(AssessmentTrigger="Major renovation")*RenovationRate+$C$20*(AssessmentTrigger="Other")</f>
        <v>0</v>
      </c>
      <c r="I38" s="344">
        <f t="shared" si="4"/>
        <v>0</v>
      </c>
      <c r="J38" s="344">
        <f t="shared" si="5"/>
        <v>13056.417132529461</v>
      </c>
      <c r="K38" s="344">
        <f t="shared" si="6"/>
        <v>0</v>
      </c>
      <c r="L38" s="344">
        <f t="shared" si="16"/>
        <v>13056.417132529461</v>
      </c>
      <c r="M38" s="344">
        <f t="shared" si="7"/>
        <v>1305.6417132529461</v>
      </c>
      <c r="N38" s="345">
        <f>-MIN(AssessmentConvertFurnace+AssessmentConvertHouse,1)*(MAX(('NC Reach Code Impacts'!T5+SUM(N$36:N37)),0)/C38)*M38</f>
        <v>-84.852381943638534</v>
      </c>
      <c r="O38" s="345">
        <f>-MIN(AssessmentConvertDHW+AssessmentConvertHouse,1)*(MAX(('NC Reach Code Impacts'!U5+SUM(O$36:O37)),0)/C38)*$M38</f>
        <v>-88.481504534497162</v>
      </c>
      <c r="P38" s="345">
        <f t="shared" si="8"/>
        <v>-65.282085662647305</v>
      </c>
      <c r="Q38" s="345">
        <f>('NC Reach Code Impacts'!AD5/('NC Reach Code Impacts'!T5+'NC Reach Code Impacts'!M5))*R38</f>
        <v>57.266256268348954</v>
      </c>
      <c r="R38" s="345">
        <f t="shared" si="17"/>
        <v>84.852381943638534</v>
      </c>
      <c r="S38" s="345">
        <f t="shared" si="17"/>
        <v>88.481504534497162</v>
      </c>
      <c r="T38" s="346">
        <v>0</v>
      </c>
      <c r="U38" s="345">
        <f t="shared" ref="U38:U61" si="22">N38-V38</f>
        <v>-12.102070974711438</v>
      </c>
      <c r="V38" s="345">
        <f>$N38*('NC Reach Code Impacts'!$T5+SUM(V$36:V37))/('NC Reach Code Impacts'!$M5+'NC Reach Code Impacts'!$T5+SUM(N$36:N37))</f>
        <v>-72.750310968927096</v>
      </c>
      <c r="W38" s="345">
        <f t="shared" si="18"/>
        <v>-22.004040571689373</v>
      </c>
      <c r="X38" s="345">
        <f>$O38*('NC Reach Code Impacts'!$U5+SUM(X$36:X37))/('NC Reach Code Impacts'!$N5+'NC Reach Code Impacts'!$U5+SUM(O$36:O37))</f>
        <v>-66.477463962807789</v>
      </c>
      <c r="Y38" s="347">
        <f>MAX(M38*'NC Reach Code Impacts'!T5/'NC Reach Code Impacts'!D5+N38,0)</f>
        <v>763.6714374927468</v>
      </c>
      <c r="Z38" s="347">
        <f>MAX($M38*'NC Reach Code Impacts'!U5/'NC Reach Code Impacts'!$D5+O38,0)</f>
        <v>796.33354081047446</v>
      </c>
      <c r="AA38" s="347">
        <f t="shared" si="19"/>
        <v>1240.3596275902989</v>
      </c>
      <c r="AB38" s="347">
        <f>MAX($M38*('NC Reach Code Impacts'!W5-SUM(AB$36:AB37))/'NC Reach Code Impacts'!$D5,0)</f>
        <v>273.87604805358507</v>
      </c>
      <c r="AC38" s="347">
        <f>MAX($M38*('NC Reach Code Impacts'!X5-SUM(AC$36:AC37))/'NC Reach Code Impacts'!$D5,0)</f>
        <v>256.89148693398283</v>
      </c>
      <c r="AD38" s="347">
        <f>MAX($M38*('NC Reach Code Impacts'!Y5-SUM(AD$36:AD37))/'NC Reach Code Impacts'!$D5,0)</f>
        <v>93.277655278216898</v>
      </c>
      <c r="AE38" s="347">
        <f t="shared" si="20"/>
        <v>1305.6417132529461</v>
      </c>
      <c r="AF38" s="344">
        <f>'NC Reach Code Impacts'!M5</f>
        <v>44684.624427622999</v>
      </c>
      <c r="AG38" s="344">
        <f>'NC Reach Code Impacts'!N5</f>
        <v>92714.940693363242</v>
      </c>
      <c r="AH38" s="344">
        <f>'NC Reach Code Impacts'!O5</f>
        <v>0</v>
      </c>
      <c r="AI38" s="344">
        <f>'NC Reach Code Impacts'!P5+SUM(Q$36:Q38)</f>
        <v>23196.448515261411</v>
      </c>
      <c r="AJ38" s="344">
        <f>'NC Reach Code Impacts'!Q5+SUM(R$36:R38)</f>
        <v>21987.606691468598</v>
      </c>
      <c r="AK38" s="344">
        <f>'NC Reach Code Impacts'!R5+SUM(S$36:S38)</f>
        <v>14267.388227092679</v>
      </c>
      <c r="AL38" s="344">
        <f>'NC Reach Code Impacts'!S5</f>
        <v>3201.7815738198783</v>
      </c>
      <c r="AM38" s="348">
        <f>MAX('NC Reach Code Impacts'!T5+SUM(N$36:N38),0)</f>
        <v>268532.00909839477</v>
      </c>
      <c r="AN38" s="348">
        <f>MAX('NC Reach Code Impacts'!U5+SUM(O$36:O38),0)</f>
        <v>280017.07950260519</v>
      </c>
      <c r="AO38" s="348">
        <f>MAX('NC Reach Code Impacts'!V5+SUM(P$36:P38),0)</f>
        <v>413261.21647365321</v>
      </c>
      <c r="AP38" s="348">
        <f>'NC Reach Code Impacts'!W5</f>
        <v>86700.835943130311</v>
      </c>
      <c r="AQ38" s="348">
        <f>'NC Reach Code Impacts'!X5</f>
        <v>81324.039915649337</v>
      </c>
      <c r="AR38" s="348">
        <f>'NC Reach Code Impacts'!Y5</f>
        <v>29528.871710074622</v>
      </c>
      <c r="AS38" s="348">
        <f>'NC Reach Code Impacts'!Z5</f>
        <v>413326.49855931586</v>
      </c>
      <c r="AT38" s="349">
        <f>MAX(AM38-SUM(Y$36:Y38),0)</f>
        <v>267768.33766090201</v>
      </c>
      <c r="AU38" s="349">
        <f>MAX(AN38-SUM(Z$36:Z38),0)</f>
        <v>279220.74596179475</v>
      </c>
      <c r="AV38" s="349">
        <f>MAX(AO38-SUM(AA$36:AA38),0)</f>
        <v>412020.85684606293</v>
      </c>
      <c r="AW38" s="349">
        <f>MAX(AP38-SUM(AB$36:AB38),0)</f>
        <v>86426.959895076725</v>
      </c>
      <c r="AX38" s="349">
        <f>MAX(AQ38-SUM(AC$36:AC38),0)</f>
        <v>81067.148428715358</v>
      </c>
      <c r="AY38" s="349">
        <f>MAX(AR38-SUM(AD$36:AD38),0)</f>
        <v>29435.594054796406</v>
      </c>
      <c r="AZ38" s="349">
        <f>MAX(AS38-SUM(AE$36:AE38),0)</f>
        <v>412020.85684606293</v>
      </c>
      <c r="BA38" s="344">
        <f t="shared" si="9"/>
        <v>-63381.462134115223</v>
      </c>
      <c r="BB38" s="344">
        <f t="shared" si="10"/>
        <v>-1256009.0143431411</v>
      </c>
      <c r="BC38" s="344">
        <f>U38*'Appliance Stock Profile'!$B$21+V38*'Appliance Stock Profile'!$B$20+W38*'Appliance Stock Profile'!$C$21+X38*'Appliance Stock Profile'!$C$20+P38*'Appliance Stock Profile'!$D$20</f>
        <v>-42223.633343687368</v>
      </c>
      <c r="BD38" s="344">
        <f t="shared" si="11"/>
        <v>195078.44317741194</v>
      </c>
      <c r="BE38" s="344">
        <f>GasEmissions*(BA38+BC38)+'stock-flow model'!$B4*(BB38+BD38)/1000</f>
        <v>-606.6520120099641</v>
      </c>
      <c r="BF38" s="344">
        <f>GasEmissions*(SUM($BA$36:$BA38)+SUM($BC$36:$BC38))+'stock-flow model'!$B4*(SUM($BB$36:$BB38)+SUM($BD$36:$BD38))/1000</f>
        <v>-606.6520120099641</v>
      </c>
      <c r="BG38" s="343">
        <f>'NC Reach Code Impacts'!AC5+BF38</f>
        <v>1026814.3343538978</v>
      </c>
      <c r="BH38" s="344">
        <f t="shared" si="12"/>
        <v>306630.99567474402</v>
      </c>
      <c r="BI38" s="344">
        <f t="shared" si="13"/>
        <v>6585.6378512737865</v>
      </c>
      <c r="BJ38" s="344">
        <f t="shared" si="14"/>
        <v>413261.21647365321</v>
      </c>
      <c r="BK38" s="347">
        <f>'NC Reach Code Impacts'!E5-SUM(P$36:P38)</f>
        <v>3267.0636594825255</v>
      </c>
      <c r="BL38" s="350">
        <f t="shared" si="15"/>
        <v>412020.85684606293</v>
      </c>
      <c r="BM38" s="36">
        <f t="shared" si="21"/>
        <v>-606.6520120099641</v>
      </c>
      <c r="BN38" s="36">
        <f t="shared" ref="BN38:BN61" si="23">BN37+BM38</f>
        <v>-606.6520120099641</v>
      </c>
      <c r="BO38" s="36">
        <f t="shared" ref="BO38:BO61" si="24">BF38-BN38</f>
        <v>0</v>
      </c>
    </row>
    <row r="39" spans="1:67" hidden="1" x14ac:dyDescent="0.3">
      <c r="A39" s="257">
        <f t="shared" si="1"/>
        <v>1</v>
      </c>
      <c r="B39" s="342">
        <v>2023</v>
      </c>
      <c r="C39" s="343">
        <f>'NC Reach Code Impacts'!D6+SUM(P$36:P38)</f>
        <v>413261.21647365327</v>
      </c>
      <c r="D39" s="343">
        <f t="shared" si="2"/>
        <v>128252.33137900487</v>
      </c>
      <c r="E39" s="343">
        <f t="shared" si="3"/>
        <v>285008.8850946484</v>
      </c>
      <c r="F39" s="344">
        <f>($D39-SUM($I$36:$I38))*((AssessmentTrigger="Rental")+(AssessmentTrigger="Resale and rental"))*MoveRate</f>
        <v>0</v>
      </c>
      <c r="G39" s="344">
        <f>($E39-SUM($J$36:$J38))*((AssessmentTrigger="Home resale")+(AssessmentTrigger="Resale and rental"))*HomeResaleRate</f>
        <v>12456.327626824273</v>
      </c>
      <c r="H39" s="344">
        <f>($C39-SUM($K$36:$K38))*(AssessmentTrigger="Major renovation")*RenovationRate+$C$20*(AssessmentTrigger="Other")</f>
        <v>0</v>
      </c>
      <c r="I39" s="344">
        <f t="shared" si="4"/>
        <v>0</v>
      </c>
      <c r="J39" s="344">
        <f t="shared" si="5"/>
        <v>12456.327626824273</v>
      </c>
      <c r="K39" s="344">
        <f t="shared" si="6"/>
        <v>0</v>
      </c>
      <c r="L39" s="344">
        <f t="shared" si="16"/>
        <v>12456.327626824273</v>
      </c>
      <c r="M39" s="344">
        <f t="shared" si="7"/>
        <v>1245.6327626824275</v>
      </c>
      <c r="N39" s="345">
        <f>-MIN(AssessmentConvertFurnace+AssessmentConvertHouse,1)*(MAX(('NC Reach Code Impacts'!T6+SUM(N$36:N38)),0)/C39)*M39</f>
        <v>-76.891408516364578</v>
      </c>
      <c r="O39" s="345">
        <f>-MIN(AssessmentConvertDHW+AssessmentConvertHouse,1)*(MAX(('NC Reach Code Impacts'!U6+SUM(O$36:O38)),0)/C39)*$M39</f>
        <v>-76.726164049062916</v>
      </c>
      <c r="P39" s="345">
        <f t="shared" si="8"/>
        <v>-62.28163813412138</v>
      </c>
      <c r="Q39" s="345">
        <f>('NC Reach Code Impacts'!AD6/('NC Reach Code Impacts'!T6+'NC Reach Code Impacts'!M6))*R39</f>
        <v>49.29106690714422</v>
      </c>
      <c r="R39" s="345">
        <f t="shared" si="17"/>
        <v>76.891408516364578</v>
      </c>
      <c r="S39" s="345">
        <f t="shared" si="17"/>
        <v>76.726164049062916</v>
      </c>
      <c r="T39" s="346">
        <v>0</v>
      </c>
      <c r="U39" s="345">
        <f t="shared" si="22"/>
        <v>-14.263768680515433</v>
      </c>
      <c r="V39" s="345">
        <f>$N39*('NC Reach Code Impacts'!$T6+SUM(V$36:V38))/('NC Reach Code Impacts'!$M6+'NC Reach Code Impacts'!$T6+SUM(N$36:N38))</f>
        <v>-62.627639835849145</v>
      </c>
      <c r="W39" s="345">
        <f t="shared" si="18"/>
        <v>-24.322405648380801</v>
      </c>
      <c r="X39" s="345">
        <f>$O39*('NC Reach Code Impacts'!$U6+SUM(X$36:X38))/('NC Reach Code Impacts'!$N6+'NC Reach Code Impacts'!$U6+SUM(O$36:O38))</f>
        <v>-52.403758400682115</v>
      </c>
      <c r="Y39" s="347">
        <f>MAX(M39*'NC Reach Code Impacts'!T6/'NC Reach Code Impacts'!D6+N39,0)</f>
        <v>692.15694965411524</v>
      </c>
      <c r="Z39" s="347">
        <f>MAX($M39*'NC Reach Code Impacts'!U6/'NC Reach Code Impacts'!$D6+O39,0)</f>
        <v>690.6809474457458</v>
      </c>
      <c r="AA39" s="347">
        <f t="shared" si="19"/>
        <v>1183.3511245483062</v>
      </c>
      <c r="AB39" s="347">
        <f>MAX($M39*('NC Reach Code Impacts'!W6-SUM(AB$36:AB38))/'NC Reach Code Impacts'!$D6,0)</f>
        <v>243.0437593225918</v>
      </c>
      <c r="AC39" s="347">
        <f>MAX($M39*('NC Reach Code Impacts'!X6-SUM(AC$36:AC38))/'NC Reach Code Impacts'!$D6,0)</f>
        <v>227.97127812429144</v>
      </c>
      <c r="AD39" s="347">
        <f>MAX($M39*('NC Reach Code Impacts'!Y6-SUM(AD$36:AD38))/'NC Reach Code Impacts'!$D6,0)</f>
        <v>79.810337478831983</v>
      </c>
      <c r="AE39" s="347">
        <f t="shared" si="20"/>
        <v>1245.6327626824275</v>
      </c>
      <c r="AF39" s="344">
        <f>'NC Reach Code Impacts'!M6</f>
        <v>58115.46750163992</v>
      </c>
      <c r="AG39" s="344">
        <f>'NC Reach Code Impacts'!N6</f>
        <v>118179.08260310322</v>
      </c>
      <c r="AH39" s="344">
        <f>'NC Reach Code Impacts'!O6</f>
        <v>0</v>
      </c>
      <c r="AI39" s="344">
        <f>'NC Reach Code Impacts'!P6+SUM(Q$36:Q39)</f>
        <v>30626.686098620517</v>
      </c>
      <c r="AJ39" s="344">
        <f>'NC Reach Code Impacts'!Q6+SUM(R$36:R39)</f>
        <v>29086.991547938193</v>
      </c>
      <c r="AK39" s="344">
        <f>'NC Reach Code Impacts'!R6+SUM(S$36:S39)</f>
        <v>18897.892349059144</v>
      </c>
      <c r="AL39" s="344">
        <f>'NC Reach Code Impacts'!S6</f>
        <v>4802.6723607298172</v>
      </c>
      <c r="AM39" s="348">
        <f>MAX('NC Reach Code Impacts'!T6+SUM(N$36:N39),0)</f>
        <v>255024.27461586153</v>
      </c>
      <c r="AN39" s="348">
        <f>MAX('NC Reach Code Impacts'!U6+SUM(O$36:O39),0)</f>
        <v>254476.21142881617</v>
      </c>
      <c r="AO39" s="348">
        <f>MAX('NC Reach Code Impacts'!V6+SUM(P$36:P39),0)</f>
        <v>413198.93483551912</v>
      </c>
      <c r="AP39" s="348">
        <f>'NC Reach Code Impacts'!W6</f>
        <v>80920.780213588296</v>
      </c>
      <c r="AQ39" s="348">
        <f>'NC Reach Code Impacts'!X6</f>
        <v>75902.437254606048</v>
      </c>
      <c r="AR39" s="348">
        <f>'NC Reach Code Impacts'!Y6</f>
        <v>26575.984539067162</v>
      </c>
      <c r="AS39" s="348">
        <f>'NC Reach Code Impacts'!Z6</f>
        <v>413326.49855931586</v>
      </c>
      <c r="AT39" s="349">
        <f>MAX(AM39-SUM(Y$36:Y39),0)</f>
        <v>253568.44622871466</v>
      </c>
      <c r="AU39" s="349">
        <f>MAX(AN39-SUM(Z$36:Z39),0)</f>
        <v>252989.19694055995</v>
      </c>
      <c r="AV39" s="349">
        <f>MAX(AO39-SUM(AA$36:AA39),0)</f>
        <v>410775.22408338054</v>
      </c>
      <c r="AW39" s="349">
        <f>MAX(AP39-SUM(AB$36:AB39),0)</f>
        <v>80403.860406212116</v>
      </c>
      <c r="AX39" s="349">
        <f>MAX(AQ39-SUM(AC$36:AC39),0)</f>
        <v>75417.574489547769</v>
      </c>
      <c r="AY39" s="349">
        <f>MAX(AR39-SUM(AD$36:AD39),0)</f>
        <v>26402.896546310112</v>
      </c>
      <c r="AZ39" s="349">
        <f>MAX(AS39-SUM(AE$36:AE39),0)</f>
        <v>410775.22408338048</v>
      </c>
      <c r="BA39" s="344">
        <f t="shared" si="9"/>
        <v>-56466.806659982722</v>
      </c>
      <c r="BB39" s="344">
        <f t="shared" si="10"/>
        <v>-1190204.1911325101</v>
      </c>
      <c r="BC39" s="344">
        <f>U39*'Appliance Stock Profile'!$B$21+V39*'Appliance Stock Profile'!$B$20+W39*'Appliance Stock Profile'!$C$21+X39*'Appliance Stock Profile'!$C$20+P39*'Appliance Stock Profile'!$D$20</f>
        <v>-36841.946875058791</v>
      </c>
      <c r="BD39" s="344">
        <f t="shared" si="11"/>
        <v>173278.5929227079</v>
      </c>
      <c r="BE39" s="344">
        <f>GasEmissions*(BA39+BC39)+'stock-flow model'!$B5*(BB39+BD39)/1000</f>
        <v>-533.90949894749906</v>
      </c>
      <c r="BF39" s="344">
        <f>GasEmissions*(SUM($BA$36:$BA39)+SUM($BC$36:$BC39))+'stock-flow model'!$B5*(SUM($BB$36:$BB39)+SUM($BD$36:$BD39))/1000</f>
        <v>-1134.6933852102618</v>
      </c>
      <c r="BG39" s="343">
        <f>'NC Reach Code Impacts'!AC6+BF39</f>
        <v>994287.92012421275</v>
      </c>
      <c r="BH39" s="344">
        <f t="shared" si="12"/>
        <v>306581.7046078369</v>
      </c>
      <c r="BI39" s="344">
        <f t="shared" si="13"/>
        <v>6558.037509664573</v>
      </c>
      <c r="BJ39" s="344">
        <f t="shared" si="14"/>
        <v>413198.93483551912</v>
      </c>
      <c r="BK39" s="347">
        <f>'NC Reach Code Impacts'!E6-SUM(P$36:P39)</f>
        <v>4930.2360845265857</v>
      </c>
      <c r="BL39" s="350">
        <f t="shared" si="15"/>
        <v>410775.22408338054</v>
      </c>
      <c r="BM39" s="36">
        <f t="shared" si="21"/>
        <v>-528.0413732002977</v>
      </c>
      <c r="BN39" s="36">
        <f t="shared" si="23"/>
        <v>-1134.6933852102618</v>
      </c>
      <c r="BO39" s="36">
        <f t="shared" si="24"/>
        <v>0</v>
      </c>
    </row>
    <row r="40" spans="1:67" hidden="1" x14ac:dyDescent="0.3">
      <c r="A40" s="257">
        <f t="shared" si="1"/>
        <v>1</v>
      </c>
      <c r="B40" s="342">
        <v>2024</v>
      </c>
      <c r="C40" s="343">
        <f>'NC Reach Code Impacts'!D7+SUM(P$36:P39)</f>
        <v>413198.93483551923</v>
      </c>
      <c r="D40" s="343">
        <f t="shared" si="2"/>
        <v>128233.00276800926</v>
      </c>
      <c r="E40" s="343">
        <f t="shared" si="3"/>
        <v>284965.93206750997</v>
      </c>
      <c r="F40" s="344">
        <f>($D40-SUM($I$36:$I39))*((AssessmentTrigger="Rental")+(AssessmentTrigger="Resale and rental"))*MoveRate</f>
        <v>0</v>
      </c>
      <c r="G40" s="344">
        <f>($E40-SUM($J$36:$J39))*((AssessmentTrigger="Home resale")+(AssessmentTrigger="Resale and rental"))*HomeResaleRate</f>
        <v>11883.8189965769</v>
      </c>
      <c r="H40" s="344">
        <f>($C40-SUM($K$36:$K39))*(AssessmentTrigger="Major renovation")*RenovationRate+$C$20*(AssessmentTrigger="Other")</f>
        <v>0</v>
      </c>
      <c r="I40" s="344">
        <f t="shared" si="4"/>
        <v>0</v>
      </c>
      <c r="J40" s="344">
        <f t="shared" si="5"/>
        <v>11883.8189965769</v>
      </c>
      <c r="K40" s="344">
        <f t="shared" si="6"/>
        <v>0</v>
      </c>
      <c r="L40" s="344">
        <f t="shared" si="16"/>
        <v>11883.8189965769</v>
      </c>
      <c r="M40" s="344">
        <f t="shared" si="7"/>
        <v>1188.3818996576899</v>
      </c>
      <c r="N40" s="345">
        <f>-MIN(AssessmentConvertFurnace+AssessmentConvertHouse,1)*(MAX(('NC Reach Code Impacts'!T7+SUM(N$36:N39)),0)/C40)*M40</f>
        <v>-69.676682437585995</v>
      </c>
      <c r="O40" s="345">
        <f>-MIN(AssessmentConvertDHW+AssessmentConvertHouse,1)*(MAX(('NC Reach Code Impacts'!U7+SUM(O$36:O39)),0)/C40)*$M40</f>
        <v>-66.53086115123152</v>
      </c>
      <c r="P40" s="345">
        <f t="shared" si="8"/>
        <v>-59.419094982884502</v>
      </c>
      <c r="Q40" s="345">
        <f>('NC Reach Code Impacts'!AD7/('NC Reach Code Impacts'!T7+'NC Reach Code Impacts'!M7))*R40</f>
        <v>42.437199927821744</v>
      </c>
      <c r="R40" s="345">
        <f t="shared" si="17"/>
        <v>69.676682437585995</v>
      </c>
      <c r="S40" s="345">
        <f t="shared" si="17"/>
        <v>66.53086115123152</v>
      </c>
      <c r="T40" s="346">
        <v>0</v>
      </c>
      <c r="U40" s="345">
        <f t="shared" si="22"/>
        <v>-15.764468650820021</v>
      </c>
      <c r="V40" s="345">
        <f>$N40*('NC Reach Code Impacts'!$T7+SUM(V$36:V39))/('NC Reach Code Impacts'!$M7+'NC Reach Code Impacts'!$T7+SUM(N$36:N39))</f>
        <v>-53.912213786765975</v>
      </c>
      <c r="W40" s="345">
        <f t="shared" si="18"/>
        <v>-25.223340937163556</v>
      </c>
      <c r="X40" s="345">
        <f>$O40*('NC Reach Code Impacts'!$U7+SUM(X$36:X39))/('NC Reach Code Impacts'!$N7+'NC Reach Code Impacts'!$U7+SUM(O$36:O39))</f>
        <v>-41.307520214067964</v>
      </c>
      <c r="Y40" s="347">
        <f>MAX(M40*'NC Reach Code Impacts'!T7/'NC Reach Code Impacts'!D7+N40,0)</f>
        <v>627.34014096468377</v>
      </c>
      <c r="Z40" s="347">
        <f>MAX($M40*'NC Reach Code Impacts'!U7/'NC Reach Code Impacts'!$D7+O40,0)</f>
        <v>599.04741746314289</v>
      </c>
      <c r="AA40" s="347">
        <f t="shared" si="19"/>
        <v>1128.9628046748055</v>
      </c>
      <c r="AB40" s="347">
        <f>MAX($M40*('NC Reach Code Impacts'!W7-SUM(AB$36:AB39))/'NC Reach Code Impacts'!$D7,0)</f>
        <v>215.66366213130661</v>
      </c>
      <c r="AC40" s="347">
        <f>MAX($M40*('NC Reach Code Impacts'!X7-SUM(AC$36:AC39))/'NC Reach Code Impacts'!$D7,0)</f>
        <v>202.28917145649686</v>
      </c>
      <c r="AD40" s="347">
        <f>MAX($M40*('NC Reach Code Impacts'!Y7-SUM(AD$36:AD39))/'NC Reach Code Impacts'!$D7,0)</f>
        <v>68.27165099103577</v>
      </c>
      <c r="AE40" s="347">
        <f t="shared" si="20"/>
        <v>1188.3818996576899</v>
      </c>
      <c r="AF40" s="344">
        <f>'NC Reach Code Impacts'!M7</f>
        <v>70874.768421955989</v>
      </c>
      <c r="AG40" s="344">
        <f>'NC Reach Code Impacts'!N7</f>
        <v>141328.30252104864</v>
      </c>
      <c r="AH40" s="344">
        <f>'NC Reach Code Impacts'!O7</f>
        <v>0</v>
      </c>
      <c r="AI40" s="344">
        <f>'NC Reach Code Impacts'!P7+SUM(Q$36:Q40)</f>
        <v>37664.732766364163</v>
      </c>
      <c r="AJ40" s="344">
        <f>'NC Reach Code Impacts'!Q7+SUM(R$36:R40)</f>
        <v>35817.72150092612</v>
      </c>
      <c r="AK40" s="344">
        <f>'NC Reach Code Impacts'!R7+SUM(S$36:S40)</f>
        <v>23222.91245102703</v>
      </c>
      <c r="AL40" s="344">
        <f>'NC Reach Code Impacts'!S7</f>
        <v>6403.5631476397566</v>
      </c>
      <c r="AM40" s="348">
        <f>MAX('NC Reach Code Impacts'!T7+SUM(N$36:N40),0)</f>
        <v>242195.29701310786</v>
      </c>
      <c r="AN40" s="348">
        <f>MAX('NC Reach Code Impacts'!U7+SUM(O$36:O40),0)</f>
        <v>231260.46064971952</v>
      </c>
      <c r="AO40" s="348">
        <f>MAX('NC Reach Code Impacts'!V7+SUM(P$36:P40),0)</f>
        <v>413139.51574053621</v>
      </c>
      <c r="AP40" s="348">
        <f>'NC Reach Code Impacts'!W7</f>
        <v>75526.061532682405</v>
      </c>
      <c r="AQ40" s="348">
        <f>'NC Reach Code Impacts'!X7</f>
        <v>70842.274770965654</v>
      </c>
      <c r="AR40" s="348">
        <f>'NC Reach Code Impacts'!Y7</f>
        <v>23918.386085160444</v>
      </c>
      <c r="AS40" s="348">
        <f>'NC Reach Code Impacts'!Z7</f>
        <v>413326.49855931586</v>
      </c>
      <c r="AT40" s="349">
        <f>MAX(AM40-SUM(Y$36:Y40),0)</f>
        <v>240112.12848499633</v>
      </c>
      <c r="AU40" s="349">
        <f>MAX(AN40-SUM(Z$36:Z40),0)</f>
        <v>229174.39874400015</v>
      </c>
      <c r="AV40" s="349">
        <f>MAX(AO40-SUM(AA$36:AA40),0)</f>
        <v>409586.84218372282</v>
      </c>
      <c r="AW40" s="349">
        <f>MAX(AP40-SUM(AB$36:AB40),0)</f>
        <v>74793.478063174916</v>
      </c>
      <c r="AX40" s="349">
        <f>MAX(AQ40-SUM(AC$36:AC40),0)</f>
        <v>70155.122834450885</v>
      </c>
      <c r="AY40" s="349">
        <f>MAX(AR40-SUM(AD$36:AD40),0)</f>
        <v>23677.026441412359</v>
      </c>
      <c r="AZ40" s="349">
        <f>MAX(AS40-SUM(AE$36:AE40),0)</f>
        <v>409586.84218372282</v>
      </c>
      <c r="BA40" s="344">
        <f t="shared" si="9"/>
        <v>-50349.729625509288</v>
      </c>
      <c r="BB40" s="344">
        <f t="shared" si="10"/>
        <v>-1128378.3486277617</v>
      </c>
      <c r="BC40" s="344">
        <f>U40*'Appliance Stock Profile'!$B$21+V40*'Appliance Stock Profile'!$B$20+W40*'Appliance Stock Profile'!$C$21+X40*'Appliance Stock Profile'!$C$20+P40*'Appliance Stock Profile'!$D$20</f>
        <v>-32225.538210921495</v>
      </c>
      <c r="BD40" s="344">
        <f t="shared" si="11"/>
        <v>153997.41035418364</v>
      </c>
      <c r="BE40" s="344">
        <f>GasEmissions*(BA40+BC40)+'stock-flow model'!$B6*(BB40+BD40)/1000</f>
        <v>-469.98537977015258</v>
      </c>
      <c r="BF40" s="344">
        <f>GasEmissions*(SUM($BA$36:$BA40)+SUM($BC$36:$BC40))+'stock-flow model'!$B6*(SUM($BB$36:$BB40)+SUM($BD$36:$BD40))/1000</f>
        <v>-1593.1859099172448</v>
      </c>
      <c r="BG40" s="343">
        <f>'NC Reach Code Impacts'!AC7+BF40</f>
        <v>963200.9676568599</v>
      </c>
      <c r="BH40" s="344">
        <f t="shared" si="12"/>
        <v>306539.26740790904</v>
      </c>
      <c r="BI40" s="344">
        <f t="shared" si="13"/>
        <v>6530.7980271547931</v>
      </c>
      <c r="BJ40" s="344">
        <f t="shared" si="14"/>
        <v>413139.51574053621</v>
      </c>
      <c r="BK40" s="347">
        <f>'NC Reach Code Impacts'!E7-SUM(P$36:P40)</f>
        <v>6590.5459664194095</v>
      </c>
      <c r="BL40" s="350">
        <f t="shared" si="15"/>
        <v>409586.84218372282</v>
      </c>
      <c r="BM40" s="36">
        <f t="shared" si="21"/>
        <v>-458.49252470698298</v>
      </c>
      <c r="BN40" s="36">
        <f t="shared" si="23"/>
        <v>-1593.1859099172448</v>
      </c>
      <c r="BO40" s="36">
        <f t="shared" si="24"/>
        <v>0</v>
      </c>
    </row>
    <row r="41" spans="1:67" hidden="1" x14ac:dyDescent="0.3">
      <c r="A41" s="257">
        <f t="shared" si="1"/>
        <v>1</v>
      </c>
      <c r="B41" s="342">
        <v>2025</v>
      </c>
      <c r="C41" s="343">
        <f>'NC Reach Code Impacts'!D8+SUM(P$36:P40)</f>
        <v>413139.51574053633</v>
      </c>
      <c r="D41" s="343">
        <f t="shared" si="2"/>
        <v>128214.56252451142</v>
      </c>
      <c r="E41" s="343">
        <f t="shared" si="3"/>
        <v>284924.95321602491</v>
      </c>
      <c r="F41" s="344">
        <f>($D41-SUM($I$36:$I40))*((AssessmentTrigger="Rental")+(AssessmentTrigger="Resale and rental"))*MoveRate</f>
        <v>0</v>
      </c>
      <c r="G41" s="344">
        <f>($E41-SUM($J$36:$J40))*((AssessmentTrigger="Home resale")+(AssessmentTrigger="Resale and rental"))*HomeResaleRate</f>
        <v>11337.623589739116</v>
      </c>
      <c r="H41" s="344">
        <f>($C41-SUM($K$36:$K40))*(AssessmentTrigger="Major renovation")*RenovationRate+$C$20*(AssessmentTrigger="Other")</f>
        <v>0</v>
      </c>
      <c r="I41" s="344">
        <f t="shared" si="4"/>
        <v>0</v>
      </c>
      <c r="J41" s="344">
        <f t="shared" si="5"/>
        <v>11337.623589739116</v>
      </c>
      <c r="K41" s="344">
        <f t="shared" si="6"/>
        <v>0</v>
      </c>
      <c r="L41" s="344">
        <f t="shared" si="16"/>
        <v>11337.623589739116</v>
      </c>
      <c r="M41" s="344">
        <f t="shared" si="7"/>
        <v>1133.7623589739117</v>
      </c>
      <c r="N41" s="345">
        <f>-MIN(AssessmentConvertFurnace+AssessmentConvertHouse,1)*(MAX(('NC Reach Code Impacts'!T8+SUM(N$36:N40)),0)/C41)*M41</f>
        <v>-63.138283069254378</v>
      </c>
      <c r="O41" s="345">
        <f>-MIN(AssessmentConvertDHW+AssessmentConvertHouse,1)*(MAX(('NC Reach Code Impacts'!U8+SUM(O$36:O40)),0)/C41)*$M41</f>
        <v>-57.688663552416692</v>
      </c>
      <c r="P41" s="345">
        <f t="shared" si="8"/>
        <v>-56.688117948695584</v>
      </c>
      <c r="Q41" s="345">
        <f>('NC Reach Code Impacts'!AD8/('NC Reach Code Impacts'!T8+'NC Reach Code Impacts'!M8))*R41</f>
        <v>36.544849006368317</v>
      </c>
      <c r="R41" s="345">
        <f t="shared" si="17"/>
        <v>63.138283069254378</v>
      </c>
      <c r="S41" s="345">
        <f t="shared" si="17"/>
        <v>57.688663552416692</v>
      </c>
      <c r="T41" s="346">
        <v>0</v>
      </c>
      <c r="U41" s="345">
        <f t="shared" si="22"/>
        <v>-16.729710277768888</v>
      </c>
      <c r="V41" s="345">
        <f>$N41*('NC Reach Code Impacts'!$T8+SUM(V$36:V40))/('NC Reach Code Impacts'!$M8+'NC Reach Code Impacts'!$T8+SUM(N$36:N40))</f>
        <v>-46.40857279148549</v>
      </c>
      <c r="W41" s="345">
        <f t="shared" si="18"/>
        <v>-25.129465631391838</v>
      </c>
      <c r="X41" s="345">
        <f>$O41*('NC Reach Code Impacts'!$U8+SUM(X$36:X40))/('NC Reach Code Impacts'!$N8+'NC Reach Code Impacts'!$U8+SUM(O$36:O40))</f>
        <v>-32.559197921024854</v>
      </c>
      <c r="Y41" s="347">
        <f>MAX(M41*'NC Reach Code Impacts'!T8/'NC Reach Code Impacts'!D8+N41,0)</f>
        <v>568.59371004176069</v>
      </c>
      <c r="Z41" s="347">
        <f>MAX($M41*'NC Reach Code Impacts'!U8/'NC Reach Code Impacts'!$D8+O41,0)</f>
        <v>519.57266010195826</v>
      </c>
      <c r="AA41" s="347">
        <f t="shared" si="19"/>
        <v>1077.074241025216</v>
      </c>
      <c r="AB41" s="347">
        <f>MAX($M41*('NC Reach Code Impacts'!W8-SUM(AB$36:AB40))/'NC Reach Code Impacts'!$D8,0)</f>
        <v>191.34862315374104</v>
      </c>
      <c r="AC41" s="347">
        <f>MAX($M41*('NC Reach Code Impacts'!X8-SUM(AC$36:AC40))/'NC Reach Code Impacts'!$D8,0)</f>
        <v>179.48204187288886</v>
      </c>
      <c r="AD41" s="347">
        <f>MAX($M41*('NC Reach Code Impacts'!Y8-SUM(AD$36:AD40))/'NC Reach Code Impacts'!$D8,0)</f>
        <v>58.385670535866026</v>
      </c>
      <c r="AE41" s="347">
        <f t="shared" si="20"/>
        <v>1133.7623589739117</v>
      </c>
      <c r="AF41" s="344">
        <f>'NC Reach Code Impacts'!M8</f>
        <v>82996.104296256264</v>
      </c>
      <c r="AG41" s="344">
        <f>'NC Reach Code Impacts'!N8</f>
        <v>162373.04790099902</v>
      </c>
      <c r="AH41" s="344">
        <f>'NC Reach Code Impacts'!O8</f>
        <v>0</v>
      </c>
      <c r="AI41" s="344">
        <f>'NC Reach Code Impacts'!P8+SUM(Q$36:Q41)</f>
        <v>44337.23917112597</v>
      </c>
      <c r="AJ41" s="344">
        <f>'NC Reach Code Impacts'!Q8+SUM(R$36:R41)</f>
        <v>42204.56888896969</v>
      </c>
      <c r="AK41" s="344">
        <f>'NC Reach Code Impacts'!R8+SUM(S$36:S41)</f>
        <v>27273.330510005431</v>
      </c>
      <c r="AL41" s="344">
        <f>'NC Reach Code Impacts'!S8</f>
        <v>8004.453934549696</v>
      </c>
      <c r="AM41" s="348">
        <f>MAX('NC Reach Code Impacts'!T8+SUM(N$36:N41),0)</f>
        <v>230010.82285573834</v>
      </c>
      <c r="AN41" s="348">
        <f>MAX('NC Reach Code Impacts'!U8+SUM(O$36:O41),0)</f>
        <v>210158.02660621671</v>
      </c>
      <c r="AO41" s="348">
        <f>MAX('NC Reach Code Impacts'!V8+SUM(P$36:P41),0)</f>
        <v>413082.8276225875</v>
      </c>
      <c r="AP41" s="348">
        <f>'NC Reach Code Impacts'!W8</f>
        <v>70490.990763836904</v>
      </c>
      <c r="AQ41" s="348">
        <f>'NC Reach Code Impacts'!X8</f>
        <v>66119.456452901271</v>
      </c>
      <c r="AR41" s="348">
        <f>'NC Reach Code Impacts'!Y8</f>
        <v>21526.547476644399</v>
      </c>
      <c r="AS41" s="348">
        <f>'NC Reach Code Impacts'!Z8</f>
        <v>413326.49855931586</v>
      </c>
      <c r="AT41" s="349">
        <f>MAX(AM41-SUM(Y$36:Y41),0)</f>
        <v>227359.06061758503</v>
      </c>
      <c r="AU41" s="349">
        <f>MAX(AN41-SUM(Z$36:Z41),0)</f>
        <v>207552.39204039538</v>
      </c>
      <c r="AV41" s="349">
        <f>MAX(AO41-SUM(AA$36:AA41),0)</f>
        <v>408453.07982474886</v>
      </c>
      <c r="AW41" s="349">
        <f>MAX(AP41-SUM(AB$36:AB41),0)</f>
        <v>69567.058671175677</v>
      </c>
      <c r="AX41" s="349">
        <f>MAX(AQ41-SUM(AC$36:AC41),0)</f>
        <v>65252.82247451361</v>
      </c>
      <c r="AY41" s="349">
        <f>MAX(AR41-SUM(AD$36:AD41),0)</f>
        <v>21226.802162360447</v>
      </c>
      <c r="AZ41" s="349">
        <f>MAX(AS41-SUM(AE$36:AE41),0)</f>
        <v>408453.07982474891</v>
      </c>
      <c r="BA41" s="344">
        <f t="shared" si="9"/>
        <v>-44934.705801140619</v>
      </c>
      <c r="BB41" s="344">
        <f t="shared" si="10"/>
        <v>-1070233.9053054252</v>
      </c>
      <c r="BC41" s="344">
        <f>U41*'Appliance Stock Profile'!$B$21+V41*'Appliance Stock Profile'!$B$20+W41*'Appliance Stock Profile'!$C$21+X41*'Appliance Stock Profile'!$C$20+P41*'Appliance Stock Profile'!$D$20</f>
        <v>-28254.059078603572</v>
      </c>
      <c r="BD41" s="344">
        <f t="shared" si="11"/>
        <v>136933.83024395767</v>
      </c>
      <c r="BE41" s="344">
        <f>GasEmissions*(BA41+BC41)+'stock-flow model'!$B7*(BB41+BD41)/1000</f>
        <v>-413.71138979559305</v>
      </c>
      <c r="BF41" s="344">
        <f>GasEmissions*(SUM($BA$36:$BA41)+SUM($BC$36:$BC41))+'stock-flow model'!$B7*(SUM($BB$36:$BB41)+SUM($BD$36:$BD41))/1000</f>
        <v>-1990.0150346101566</v>
      </c>
      <c r="BG41" s="343">
        <f>'NC Reach Code Impacts'!AC8+BF41</f>
        <v>933413.27015883045</v>
      </c>
      <c r="BH41" s="344">
        <f t="shared" si="12"/>
        <v>306502.72255890269</v>
      </c>
      <c r="BI41" s="344">
        <f t="shared" si="13"/>
        <v>6504.2045930919121</v>
      </c>
      <c r="BJ41" s="344">
        <f t="shared" si="14"/>
        <v>413082.8276225875</v>
      </c>
      <c r="BK41" s="347">
        <f>'NC Reach Code Impacts'!E8-SUM(P$36:P41)</f>
        <v>8248.1248712780452</v>
      </c>
      <c r="BL41" s="350">
        <f t="shared" si="15"/>
        <v>408453.07982474886</v>
      </c>
      <c r="BM41" s="36">
        <f t="shared" si="21"/>
        <v>-396.82912469291182</v>
      </c>
      <c r="BN41" s="36">
        <f t="shared" si="23"/>
        <v>-1990.0150346101566</v>
      </c>
      <c r="BO41" s="36">
        <f t="shared" si="24"/>
        <v>0</v>
      </c>
    </row>
    <row r="42" spans="1:67" hidden="1" x14ac:dyDescent="0.3">
      <c r="A42" s="257">
        <f t="shared" si="1"/>
        <v>1</v>
      </c>
      <c r="B42" s="342">
        <v>2026</v>
      </c>
      <c r="C42" s="343">
        <f>'NC Reach Code Impacts'!D9+SUM(P$36:P41)</f>
        <v>413082.82762258768</v>
      </c>
      <c r="D42" s="343">
        <f t="shared" si="2"/>
        <v>128196.96981801347</v>
      </c>
      <c r="E42" s="343">
        <f t="shared" si="3"/>
        <v>284885.85780457419</v>
      </c>
      <c r="F42" s="344">
        <f>($D42-SUM($I$36:$I41))*((AssessmentTrigger="Rental")+(AssessmentTrigger="Resale and rental"))*MoveRate</f>
        <v>0</v>
      </c>
      <c r="G42" s="344">
        <f>($E42-SUM($J$36:$J41))*((AssessmentTrigger="Home resale")+(AssessmentTrigger="Resale and rental"))*HomeResaleRate</f>
        <v>10816.532017160054</v>
      </c>
      <c r="H42" s="344">
        <f>($C42-SUM($K$36:$K41))*(AssessmentTrigger="Major renovation")*RenovationRate+$C$20*(AssessmentTrigger="Other")</f>
        <v>0</v>
      </c>
      <c r="I42" s="344">
        <f t="shared" si="4"/>
        <v>0</v>
      </c>
      <c r="J42" s="344">
        <f t="shared" si="5"/>
        <v>10816.532017160054</v>
      </c>
      <c r="K42" s="344">
        <f t="shared" si="6"/>
        <v>0</v>
      </c>
      <c r="L42" s="344">
        <f t="shared" si="16"/>
        <v>10816.532017160054</v>
      </c>
      <c r="M42" s="344">
        <f t="shared" si="7"/>
        <v>1081.6532017160055</v>
      </c>
      <c r="N42" s="345">
        <f>-MIN(AssessmentConvertFurnace+AssessmentConvertHouse,1)*(MAX(('NC Reach Code Impacts'!T9+SUM(N$36:N41)),0)/C42)*M42</f>
        <v>-57.212839531914476</v>
      </c>
      <c r="O42" s="345">
        <f>-MIN(AssessmentConvertDHW+AssessmentConvertHouse,1)*(MAX(('NC Reach Code Impacts'!U9+SUM(O$36:O41)),0)/C42)*$M42</f>
        <v>-50.020079875110895</v>
      </c>
      <c r="P42" s="345">
        <f t="shared" si="8"/>
        <v>-54.082660085800278</v>
      </c>
      <c r="Q42" s="345">
        <f>('NC Reach Code Impacts'!AD9/('NC Reach Code Impacts'!T9+'NC Reach Code Impacts'!M9))*R42</f>
        <v>31.477397007852051</v>
      </c>
      <c r="R42" s="345">
        <f t="shared" si="17"/>
        <v>57.212839531914476</v>
      </c>
      <c r="S42" s="345">
        <f t="shared" si="17"/>
        <v>50.020079875110895</v>
      </c>
      <c r="T42" s="346">
        <v>0</v>
      </c>
      <c r="U42" s="345">
        <f t="shared" si="22"/>
        <v>-17.264462928412776</v>
      </c>
      <c r="V42" s="345">
        <f>$N42*('NC Reach Code Impacts'!$T9+SUM(V$36:V41))/('NC Reach Code Impacts'!$M9+'NC Reach Code Impacts'!$T9+SUM(N$36:N41))</f>
        <v>-39.9483766035017</v>
      </c>
      <c r="W42" s="345">
        <f t="shared" si="18"/>
        <v>-24.357808080718236</v>
      </c>
      <c r="X42" s="345">
        <f>$O42*('NC Reach Code Impacts'!$U9+SUM(X$36:X41))/('NC Reach Code Impacts'!$N9+'NC Reach Code Impacts'!$U9+SUM(O$36:O41))</f>
        <v>-25.662271794392659</v>
      </c>
      <c r="Y42" s="347">
        <f>MAX(M42*'NC Reach Code Impacts'!T9/'NC Reach Code Impacts'!D9+N42,0)</f>
        <v>515.34910979379242</v>
      </c>
      <c r="Z42" s="347">
        <f>MAX($M42*'NC Reach Code Impacts'!U9/'NC Reach Code Impacts'!$D9+O42,0)</f>
        <v>450.64324778175455</v>
      </c>
      <c r="AA42" s="347">
        <f t="shared" si="19"/>
        <v>1027.5705416302053</v>
      </c>
      <c r="AB42" s="347">
        <f>MAX($M42*('NC Reach Code Impacts'!W9-SUM(AB$36:AB41))/'NC Reach Code Impacts'!$D9,0)</f>
        <v>169.75517321072667</v>
      </c>
      <c r="AC42" s="347">
        <f>MAX($M42*('NC Reach Code Impacts'!X9-SUM(AC$36:AC41))/'NC Reach Code Impacts'!$D9,0)</f>
        <v>159.22772060851105</v>
      </c>
      <c r="AD42" s="347">
        <f>MAX($M42*('NC Reach Code Impacts'!Y9-SUM(AD$36:AD41))/'NC Reach Code Impacts'!$D9,0)</f>
        <v>49.916017223725582</v>
      </c>
      <c r="AE42" s="347">
        <f t="shared" si="20"/>
        <v>1081.6532017160055</v>
      </c>
      <c r="AF42" s="344">
        <f>'NC Reach Code Impacts'!M9</f>
        <v>94511.373376841526</v>
      </c>
      <c r="AG42" s="344">
        <f>'NC Reach Code Impacts'!N9</f>
        <v>181504.63461004483</v>
      </c>
      <c r="AH42" s="344">
        <f>'NC Reach Code Impacts'!O9</f>
        <v>0</v>
      </c>
      <c r="AI42" s="344">
        <f>'NC Reach Code Impacts'!P9+SUM(Q$36:Q42)</f>
        <v>50669.006739299562</v>
      </c>
      <c r="AJ42" s="344">
        <f>'NC Reach Code Impacts'!Q9+SUM(R$36:R42)</f>
        <v>48270.636278938291</v>
      </c>
      <c r="AK42" s="344">
        <f>'NC Reach Code Impacts'!R9+SUM(S$36:S42)</f>
        <v>31076.896124454925</v>
      </c>
      <c r="AL42" s="344">
        <f>'NC Reach Code Impacts'!S9</f>
        <v>9605.3447214596345</v>
      </c>
      <c r="AM42" s="348">
        <f>MAX('NC Reach Code Impacts'!T9+SUM(N$36:N42),0)</f>
        <v>218438.34093562115</v>
      </c>
      <c r="AN42" s="348">
        <f>MAX('NC Reach Code Impacts'!U9+SUM(O$36:O42),0)</f>
        <v>190976.4198172958</v>
      </c>
      <c r="AO42" s="348">
        <f>MAX('NC Reach Code Impacts'!V9+SUM(P$36:P42),0)</f>
        <v>413028.74496250169</v>
      </c>
      <c r="AP42" s="348">
        <f>'NC Reach Code Impacts'!W9</f>
        <v>65791.591379581107</v>
      </c>
      <c r="AQ42" s="348">
        <f>'NC Reach Code Impacts'!X9</f>
        <v>61711.492689374521</v>
      </c>
      <c r="AR42" s="348">
        <f>'NC Reach Code Impacts'!Y9</f>
        <v>19373.892728979958</v>
      </c>
      <c r="AS42" s="348">
        <f>'NC Reach Code Impacts'!Z9</f>
        <v>413326.49855931586</v>
      </c>
      <c r="AT42" s="349">
        <f>MAX(AM42-SUM(Y$36:Y42),0)</f>
        <v>215271.22958767405</v>
      </c>
      <c r="AU42" s="349">
        <f>MAX(AN42-SUM(Z$36:Z42),0)</f>
        <v>187920.14200369272</v>
      </c>
      <c r="AV42" s="349">
        <f>MAX(AO42-SUM(AA$36:AA42),0)</f>
        <v>407371.42662303284</v>
      </c>
      <c r="AW42" s="349">
        <f>MAX(AP42-SUM(AB$36:AB42),0)</f>
        <v>64697.904113709155</v>
      </c>
      <c r="AX42" s="349">
        <f>MAX(AQ42-SUM(AC$36:AC42),0)</f>
        <v>60685.630990378348</v>
      </c>
      <c r="AY42" s="349">
        <f>MAX(AR42-SUM(AD$36:AD42),0)</f>
        <v>19024.231397472282</v>
      </c>
      <c r="AZ42" s="349">
        <f>MAX(AS42-SUM(AE$36:AE42),0)</f>
        <v>407371.42662303289</v>
      </c>
      <c r="BA42" s="344">
        <f t="shared" si="9"/>
        <v>-40137.962857473554</v>
      </c>
      <c r="BB42" s="344">
        <f t="shared" si="10"/>
        <v>-1015501.0060104603</v>
      </c>
      <c r="BC42" s="344">
        <f>U42*'Appliance Stock Profile'!$B$21+V42*'Appliance Stock Profile'!$B$20+W42*'Appliance Stock Profile'!$C$21+X42*'Appliance Stock Profile'!$C$20+P42*'Appliance Stock Profile'!$D$20</f>
        <v>-24827.787628298443</v>
      </c>
      <c r="BD42" s="344">
        <f t="shared" si="11"/>
        <v>121823.99856353365</v>
      </c>
      <c r="BE42" s="344">
        <f>GasEmissions*(BA42+BC42)+'stock-flow model'!$B8*(BB42+BD42)/1000</f>
        <v>-364.09058783179296</v>
      </c>
      <c r="BF42" s="344">
        <f>GasEmissions*(SUM($BA$36:$BA42)+SUM($BC$36:$BC42))+'stock-flow model'!$B8*(SUM($BB$36:$BB42)+SUM($BD$36:$BD42))/1000</f>
        <v>-2332.0611701526786</v>
      </c>
      <c r="BG42" s="343">
        <f>'NC Reach Code Impacts'!AC9+BF42</f>
        <v>904797.4051859926</v>
      </c>
      <c r="BH42" s="344">
        <f t="shared" si="12"/>
        <v>306471.24516189483</v>
      </c>
      <c r="BI42" s="344">
        <f t="shared" si="13"/>
        <v>6478.4691505678566</v>
      </c>
      <c r="BJ42" s="344">
        <f t="shared" si="14"/>
        <v>413028.74496250169</v>
      </c>
      <c r="BK42" s="347">
        <f>'NC Reach Code Impacts'!E9-SUM(P$36:P42)</f>
        <v>9903.0983182737837</v>
      </c>
      <c r="BL42" s="350">
        <f t="shared" si="15"/>
        <v>407371.42662303284</v>
      </c>
      <c r="BM42" s="36">
        <f t="shared" si="21"/>
        <v>-342.04613554252205</v>
      </c>
      <c r="BN42" s="36">
        <f t="shared" si="23"/>
        <v>-2332.0611701526786</v>
      </c>
      <c r="BO42" s="36">
        <f t="shared" si="24"/>
        <v>0</v>
      </c>
    </row>
    <row r="43" spans="1:67" hidden="1" x14ac:dyDescent="0.3">
      <c r="A43" s="257">
        <f t="shared" si="1"/>
        <v>1</v>
      </c>
      <c r="B43" s="342">
        <v>2027</v>
      </c>
      <c r="C43" s="343">
        <f>'NC Reach Code Impacts'!D10+SUM(P$36:P42)</f>
        <v>413028.74496250186</v>
      </c>
      <c r="D43" s="343">
        <f t="shared" si="2"/>
        <v>128180.18569463899</v>
      </c>
      <c r="E43" s="343">
        <f t="shared" si="3"/>
        <v>284848.55926786287</v>
      </c>
      <c r="F43" s="344">
        <f>($D43-SUM($I$36:$I42))*((AssessmentTrigger="Rental")+(AssessmentTrigger="Resale and rental"))*MoveRate</f>
        <v>0</v>
      </c>
      <c r="G43" s="344">
        <f>($E43-SUM($J$36:$J42))*((AssessmentTrigger="Home resale")+(AssessmentTrigger="Resale and rental"))*HomeResaleRate</f>
        <v>10319.390474749453</v>
      </c>
      <c r="H43" s="344">
        <f>($C43-SUM($K$36:$K42))*(AssessmentTrigger="Major renovation")*RenovationRate+$C$20*(AssessmentTrigger="Other")</f>
        <v>0</v>
      </c>
      <c r="I43" s="344">
        <f t="shared" si="4"/>
        <v>0</v>
      </c>
      <c r="J43" s="344">
        <f t="shared" si="5"/>
        <v>10319.390474749453</v>
      </c>
      <c r="K43" s="344">
        <f t="shared" si="6"/>
        <v>0</v>
      </c>
      <c r="L43" s="344">
        <f t="shared" si="16"/>
        <v>10319.390474749453</v>
      </c>
      <c r="M43" s="344">
        <f t="shared" si="7"/>
        <v>1031.9390474749453</v>
      </c>
      <c r="N43" s="345">
        <f>-MIN(AssessmentConvertFurnace+AssessmentConvertHouse,1)*(MAX(('NC Reach Code Impacts'!T10+SUM(N$36:N42)),0)/C43)*M43</f>
        <v>-51.842917247911494</v>
      </c>
      <c r="O43" s="345">
        <f>-MIN(AssessmentConvertDHW+AssessmentConvertHouse,1)*(MAX(('NC Reach Code Impacts'!U10+SUM(O$36:O42)),0)/C43)*$M43</f>
        <v>-43.369421679608848</v>
      </c>
      <c r="P43" s="345">
        <f t="shared" si="8"/>
        <v>-51.596952373747264</v>
      </c>
      <c r="Q43" s="345">
        <f>('NC Reach Code Impacts'!AD10/('NC Reach Code Impacts'!T10+'NC Reach Code Impacts'!M10))*R43</f>
        <v>27.117973930103236</v>
      </c>
      <c r="R43" s="345">
        <f t="shared" si="17"/>
        <v>51.842917247911494</v>
      </c>
      <c r="S43" s="345">
        <f t="shared" si="17"/>
        <v>43.369421679608848</v>
      </c>
      <c r="T43" s="346">
        <v>0</v>
      </c>
      <c r="U43" s="345">
        <f t="shared" si="22"/>
        <v>-17.45626990169626</v>
      </c>
      <c r="V43" s="345">
        <f>$N43*('NC Reach Code Impacts'!$T10+SUM(V$36:V42))/('NC Reach Code Impacts'!$M10+'NC Reach Code Impacts'!$T10+SUM(N$36:N42))</f>
        <v>-34.386647346215234</v>
      </c>
      <c r="W43" s="345">
        <f t="shared" si="18"/>
        <v>-23.144258893005706</v>
      </c>
      <c r="X43" s="345">
        <f>$O43*('NC Reach Code Impacts'!$U10+SUM(X$36:X42))/('NC Reach Code Impacts'!$N10+'NC Reach Code Impacts'!$U10+SUM(O$36:O42))</f>
        <v>-20.225162786603143</v>
      </c>
      <c r="Y43" s="347">
        <f>MAX(M43*'NC Reach Code Impacts'!T10/'NC Reach Code Impacts'!D10+N43,0)</f>
        <v>467.09104429049648</v>
      </c>
      <c r="Z43" s="347">
        <f>MAX($M43*'NC Reach Code Impacts'!U10/'NC Reach Code Impacts'!$D10+O43,0)</f>
        <v>390.85985609983629</v>
      </c>
      <c r="AA43" s="347">
        <f t="shared" si="19"/>
        <v>980.34209510119797</v>
      </c>
      <c r="AB43" s="347">
        <f>MAX($M43*('NC Reach Code Impacts'!W10-SUM(AB$36:AB42))/'NC Reach Code Impacts'!$D10,0)</f>
        <v>150.57853686852582</v>
      </c>
      <c r="AC43" s="347">
        <f>MAX($M43*('NC Reach Code Impacts'!X10-SUM(AC$36:AC42))/'NC Reach Code Impacts'!$D10,0)</f>
        <v>141.240333031718</v>
      </c>
      <c r="AD43" s="347">
        <f>MAX($M43*('NC Reach Code Impacts'!Y10-SUM(AD$36:AD42))/'NC Reach Code Impacts'!$D10,0)</f>
        <v>42.660172158929527</v>
      </c>
      <c r="AE43" s="347">
        <f t="shared" si="20"/>
        <v>1031.9390474749453</v>
      </c>
      <c r="AF43" s="344">
        <f>'NC Reach Code Impacts'!M10</f>
        <v>105450.87900339752</v>
      </c>
      <c r="AG43" s="344">
        <f>'NC Reach Code Impacts'!N10</f>
        <v>198896.98616372285</v>
      </c>
      <c r="AH43" s="344">
        <f>'NC Reach Code Impacts'!O10</f>
        <v>0</v>
      </c>
      <c r="AI43" s="344">
        <f>'NC Reach Code Impacts'!P10+SUM(Q$36:Q43)</f>
        <v>56683.121592111675</v>
      </c>
      <c r="AJ43" s="344">
        <f>'NC Reach Code Impacts'!Q10+SUM(R$36:R43)</f>
        <v>54037.46949572111</v>
      </c>
      <c r="AK43" s="344">
        <f>'NC Reach Code Impacts'!R10+SUM(S$36:S43)</f>
        <v>34658.545605942469</v>
      </c>
      <c r="AL43" s="344">
        <f>'NC Reach Code Impacts'!S10</f>
        <v>11206.235508369573</v>
      </c>
      <c r="AM43" s="348">
        <f>MAX('NC Reach Code Impacts'!T10+SUM(N$36:N43),0)</f>
        <v>207446.99239181724</v>
      </c>
      <c r="AN43" s="348">
        <f>MAX('NC Reach Code Impacts'!U10+SUM(O$36:O43),0)</f>
        <v>173540.69884193817</v>
      </c>
      <c r="AO43" s="348">
        <f>MAX('NC Reach Code Impacts'!V10+SUM(P$36:P43),0)</f>
        <v>412977.14801012794</v>
      </c>
      <c r="AP43" s="348">
        <f>'NC Reach Code Impacts'!W10</f>
        <v>61405.48528760903</v>
      </c>
      <c r="AQ43" s="348">
        <f>'NC Reach Code Impacts'!X10</f>
        <v>57597.393176749552</v>
      </c>
      <c r="AR43" s="348">
        <f>'NC Reach Code Impacts'!Y10</f>
        <v>17436.503456081962</v>
      </c>
      <c r="AS43" s="348">
        <f>'NC Reach Code Impacts'!Z10</f>
        <v>413326.49855931586</v>
      </c>
      <c r="AT43" s="349">
        <f>MAX(AM43-SUM(Y$36:Y43),0)</f>
        <v>203812.78999957966</v>
      </c>
      <c r="AU43" s="349">
        <f>MAX(AN43-SUM(Z$36:Z43),0)</f>
        <v>170093.56117223526</v>
      </c>
      <c r="AV43" s="349">
        <f>MAX(AO43-SUM(AA$36:AA43),0)</f>
        <v>406339.4875755579</v>
      </c>
      <c r="AW43" s="349">
        <f>MAX(AP43-SUM(AB$36:AB43),0)</f>
        <v>60161.219484868554</v>
      </c>
      <c r="AX43" s="349">
        <f>MAX(AQ43-SUM(AC$36:AC43),0)</f>
        <v>56430.291144721661</v>
      </c>
      <c r="AY43" s="349">
        <f>MAX(AR43-SUM(AD$36:AD43),0)</f>
        <v>17044.181952415358</v>
      </c>
      <c r="AZ43" s="349">
        <f>MAX(AS43-SUM(AE$36:AE43),0)</f>
        <v>406339.48757555796</v>
      </c>
      <c r="BA43" s="344">
        <f t="shared" si="9"/>
        <v>-35886.006243906493</v>
      </c>
      <c r="BB43" s="344">
        <f t="shared" si="10"/>
        <v>-963934.48991072574</v>
      </c>
      <c r="BC43" s="344">
        <f>U43*'Appliance Stock Profile'!$B$21+V43*'Appliance Stock Profile'!$B$20+W43*'Appliance Stock Profile'!$C$21+X43*'Appliance Stock Profile'!$C$20+P43*'Appliance Stock Profile'!$D$20</f>
        <v>-21863.848491872388</v>
      </c>
      <c r="BD43" s="344">
        <f t="shared" si="11"/>
        <v>108436.52159484725</v>
      </c>
      <c r="BE43" s="344">
        <f>GasEmissions*(BA43+BC43)+'stock-flow model'!$B9*(BB43+BD43)/1000</f>
        <v>-320.2697951752109</v>
      </c>
      <c r="BF43" s="344">
        <f>GasEmissions*(SUM($BA$36:$BA43)+SUM($BC$36:$BC43))+'stock-flow model'!$B9*(SUM($BB$36:$BB43)+SUM($BD$36:$BD43))/1000</f>
        <v>-2625.3434854743177</v>
      </c>
      <c r="BG43" s="343">
        <f>'NC Reach Code Impacts'!AC10+BF43</f>
        <v>877237.52923921368</v>
      </c>
      <c r="BH43" s="344">
        <f t="shared" si="12"/>
        <v>306444.12718796474</v>
      </c>
      <c r="BI43" s="344">
        <f t="shared" si="13"/>
        <v>6453.7442072500417</v>
      </c>
      <c r="BJ43" s="344">
        <f t="shared" si="14"/>
        <v>412977.14801012794</v>
      </c>
      <c r="BK43" s="347">
        <f>'NC Reach Code Impacts'!E10-SUM(P$36:P43)</f>
        <v>11555.58605755747</v>
      </c>
      <c r="BL43" s="350">
        <f t="shared" si="15"/>
        <v>406339.4875755579</v>
      </c>
      <c r="BM43" s="36">
        <f t="shared" si="21"/>
        <v>-293.28231532163909</v>
      </c>
      <c r="BN43" s="36">
        <f t="shared" si="23"/>
        <v>-2625.3434854743177</v>
      </c>
      <c r="BO43" s="36">
        <f t="shared" si="24"/>
        <v>0</v>
      </c>
    </row>
    <row r="44" spans="1:67" hidden="1" x14ac:dyDescent="0.3">
      <c r="A44" s="257">
        <f t="shared" si="1"/>
        <v>1</v>
      </c>
      <c r="B44" s="342">
        <v>2028</v>
      </c>
      <c r="C44" s="343">
        <f>'NC Reach Code Impacts'!D11+SUM(P$36:P43)</f>
        <v>412977.14801012812</v>
      </c>
      <c r="D44" s="343">
        <f t="shared" si="2"/>
        <v>128164.17299088118</v>
      </c>
      <c r="E44" s="343">
        <f t="shared" si="3"/>
        <v>284812.97501924692</v>
      </c>
      <c r="F44" s="344">
        <f>($D44-SUM($I$36:$I43))*((AssessmentTrigger="Rental")+(AssessmentTrigger="Resale and rental"))*MoveRate</f>
        <v>0</v>
      </c>
      <c r="G44" s="344">
        <f>($E44-SUM($J$36:$J43))*((AssessmentTrigger="Home resale")+(AssessmentTrigger="Resale and rental"))*HomeResaleRate</f>
        <v>9845.0981887177259</v>
      </c>
      <c r="H44" s="344">
        <f>($C44-SUM($K$36:$K43))*(AssessmentTrigger="Major renovation")*RenovationRate+$C$20*(AssessmentTrigger="Other")</f>
        <v>0</v>
      </c>
      <c r="I44" s="344">
        <f t="shared" si="4"/>
        <v>0</v>
      </c>
      <c r="J44" s="344">
        <f t="shared" si="5"/>
        <v>9845.0981887177259</v>
      </c>
      <c r="K44" s="344">
        <f t="shared" si="6"/>
        <v>0</v>
      </c>
      <c r="L44" s="344">
        <f t="shared" si="16"/>
        <v>9845.0981887177259</v>
      </c>
      <c r="M44" s="344">
        <f t="shared" si="7"/>
        <v>984.50981887177261</v>
      </c>
      <c r="N44" s="345">
        <f>-MIN(AssessmentConvertFurnace+AssessmentConvertHouse,1)*(MAX(('NC Reach Code Impacts'!T11+SUM(N$36:N43)),0)/C44)*M44</f>
        <v>-46.976461935517115</v>
      </c>
      <c r="O44" s="345">
        <f>-MIN(AssessmentConvertDHW+AssessmentConvertHouse,1)*(MAX(('NC Reach Code Impacts'!U11+SUM(O$36:O43)),0)/C44)*$M44</f>
        <v>-37.601647656053892</v>
      </c>
      <c r="P44" s="345">
        <f t="shared" si="8"/>
        <v>-49.225490943588632</v>
      </c>
      <c r="Q44" s="345">
        <f>('NC Reach Code Impacts'!AD11/('NC Reach Code Impacts'!T11+'NC Reach Code Impacts'!M11))*R44</f>
        <v>23.366539634634481</v>
      </c>
      <c r="R44" s="345">
        <f t="shared" si="17"/>
        <v>46.976461935517115</v>
      </c>
      <c r="S44" s="345">
        <f t="shared" si="17"/>
        <v>37.601647656053892</v>
      </c>
      <c r="T44" s="346">
        <v>0</v>
      </c>
      <c r="U44" s="345">
        <f t="shared" si="22"/>
        <v>-17.377930354379224</v>
      </c>
      <c r="V44" s="345">
        <f>$N44*('NC Reach Code Impacts'!$T11+SUM(V$36:V43))/('NC Reach Code Impacts'!$M11+'NC Reach Code Impacts'!$T11+SUM(N$36:N43))</f>
        <v>-29.598531581137891</v>
      </c>
      <c r="W44" s="345">
        <f t="shared" si="18"/>
        <v>-21.662580112700354</v>
      </c>
      <c r="X44" s="345">
        <f>$O44*('NC Reach Code Impacts'!$U11+SUM(X$36:X43))/('NC Reach Code Impacts'!$N11+'NC Reach Code Impacts'!$U11+SUM(O$36:O43))</f>
        <v>-15.93906754335354</v>
      </c>
      <c r="Y44" s="347">
        <f>MAX(M44*'NC Reach Code Impacts'!T11/'NC Reach Code Impacts'!D11+N44,0)</f>
        <v>423.3524810811914</v>
      </c>
      <c r="Z44" s="347">
        <f>MAX($M44*'NC Reach Code Impacts'!U11/'NC Reach Code Impacts'!$D11+O44,0)</f>
        <v>339.00885138590246</v>
      </c>
      <c r="AA44" s="347">
        <f t="shared" si="19"/>
        <v>935.28432792818398</v>
      </c>
      <c r="AB44" s="347">
        <f>MAX($M44*('NC Reach Code Impacts'!W11-SUM(AB$36:AB43))/'NC Reach Code Impacts'!$D11,0)</f>
        <v>133.54823513776932</v>
      </c>
      <c r="AC44" s="347">
        <f>MAX($M44*('NC Reach Code Impacts'!X11-SUM(AC$36:AC43))/'NC Reach Code Impacts'!$D11,0)</f>
        <v>125.26617404395417</v>
      </c>
      <c r="AD44" s="347">
        <f>MAX($M44*('NC Reach Code Impacts'!Y11-SUM(AD$36:AD43))/'NC Reach Code Impacts'!$D11,0)</f>
        <v>36.444611350505511</v>
      </c>
      <c r="AE44" s="347">
        <f t="shared" si="20"/>
        <v>984.50981887177261</v>
      </c>
      <c r="AF44" s="344">
        <f>'NC Reach Code Impacts'!M11</f>
        <v>115843.40934862572</v>
      </c>
      <c r="AG44" s="344">
        <f>'NC Reach Code Impacts'!N11</f>
        <v>214708.21484888467</v>
      </c>
      <c r="AH44" s="344">
        <f>'NC Reach Code Impacts'!O11</f>
        <v>0</v>
      </c>
      <c r="AI44" s="344">
        <f>'NC Reach Code Impacts'!P11+SUM(Q$36:Q44)</f>
        <v>62401.077937830174</v>
      </c>
      <c r="AJ44" s="344">
        <f>'NC Reach Code Impacts'!Q11+SUM(R$36:R44)</f>
        <v>59525.162956349865</v>
      </c>
      <c r="AK44" s="344">
        <f>'NC Reach Code Impacts'!R11+SUM(S$36:S44)</f>
        <v>38040.688386116657</v>
      </c>
      <c r="AL44" s="344">
        <f>'NC Reach Code Impacts'!S11</f>
        <v>12807.126295279511</v>
      </c>
      <c r="AM44" s="348">
        <f>MAX('NC Reach Code Impacts'!T11+SUM(N$36:N44),0)</f>
        <v>197007.48558465354</v>
      </c>
      <c r="AN44" s="348">
        <f>MAX('NC Reach Code Impacts'!U11+SUM(O$36:O44),0)</f>
        <v>157691.86850912028</v>
      </c>
      <c r="AO44" s="348">
        <f>MAX('NC Reach Code Impacts'!V11+SUM(P$36:P44),0)</f>
        <v>412927.92251918436</v>
      </c>
      <c r="AP44" s="348">
        <f>'NC Reach Code Impacts'!W11</f>
        <v>57311.786268435098</v>
      </c>
      <c r="AQ44" s="348">
        <f>'NC Reach Code Impacts'!X11</f>
        <v>53757.566964966252</v>
      </c>
      <c r="AR44" s="348">
        <f>'NC Reach Code Impacts'!Y11</f>
        <v>15692.853110473767</v>
      </c>
      <c r="AS44" s="348">
        <f>'NC Reach Code Impacts'!Z11</f>
        <v>413326.49855931586</v>
      </c>
      <c r="AT44" s="349">
        <f>MAX(AM44-SUM(Y$36:Y44),0)</f>
        <v>192949.93071133475</v>
      </c>
      <c r="AU44" s="349">
        <f>MAX(AN44-SUM(Z$36:Z44),0)</f>
        <v>153905.72198803147</v>
      </c>
      <c r="AV44" s="349">
        <f>MAX(AO44-SUM(AA$36:AA44),0)</f>
        <v>405354.97775668616</v>
      </c>
      <c r="AW44" s="349">
        <f>MAX(AP44-SUM(AB$36:AB44),0)</f>
        <v>55933.97223055685</v>
      </c>
      <c r="AX44" s="349">
        <f>MAX(AQ44-SUM(AC$36:AC44),0)</f>
        <v>52465.19875889441</v>
      </c>
      <c r="AY44" s="349">
        <f>MAX(AR44-SUM(AD$36:AD44),0)</f>
        <v>15264.086995456655</v>
      </c>
      <c r="AZ44" s="349">
        <f>MAX(AS44-SUM(AE$36:AE44),0)</f>
        <v>405354.97775668616</v>
      </c>
      <c r="BA44" s="344">
        <f t="shared" si="9"/>
        <v>-32114.331999384936</v>
      </c>
      <c r="BB44" s="344">
        <f t="shared" si="10"/>
        <v>-915311.22285065812</v>
      </c>
      <c r="BC44" s="344">
        <f>U44*'Appliance Stock Profile'!$B$21+V44*'Appliance Stock Profile'!$B$20+W44*'Appliance Stock Profile'!$C$21+X44*'Appliance Stock Profile'!$C$20+P44*'Appliance Stock Profile'!$D$20</f>
        <v>-19293.159478672067</v>
      </c>
      <c r="BD44" s="344">
        <f t="shared" si="11"/>
        <v>96568.34117278512</v>
      </c>
      <c r="BE44" s="344">
        <f>GasEmissions*(BA44+BC44)+'stock-flow model'!$B10*(BB44+BD44)/1000</f>
        <v>-281.51682188714443</v>
      </c>
      <c r="BF44" s="344">
        <f>GasEmissions*(SUM($BA$36:$BA44)+SUM($BC$36:$BC44))+'stock-flow model'!$B10*(SUM($BB$36:$BB44)+SUM($BD$36:$BD44))/1000</f>
        <v>-2875.1409724826963</v>
      </c>
      <c r="BG44" s="343">
        <f>'NC Reach Code Impacts'!AC11+BF44</f>
        <v>850628.29155501188</v>
      </c>
      <c r="BH44" s="344">
        <f t="shared" si="12"/>
        <v>306420.76064833009</v>
      </c>
      <c r="BI44" s="344">
        <f t="shared" si="13"/>
        <v>6430.1342849491557</v>
      </c>
      <c r="BJ44" s="344">
        <f t="shared" si="14"/>
        <v>412927.92251918436</v>
      </c>
      <c r="BK44" s="347">
        <f>'NC Reach Code Impacts'!E11-SUM(P$36:P44)</f>
        <v>13205.702335410997</v>
      </c>
      <c r="BL44" s="350">
        <f t="shared" si="15"/>
        <v>405354.97775668616</v>
      </c>
      <c r="BM44" s="36">
        <f t="shared" si="21"/>
        <v>-249.79748700837854</v>
      </c>
      <c r="BN44" s="36">
        <f t="shared" si="23"/>
        <v>-2875.1409724826963</v>
      </c>
      <c r="BO44" s="36">
        <f t="shared" si="24"/>
        <v>0</v>
      </c>
    </row>
    <row r="45" spans="1:67" hidden="1" x14ac:dyDescent="0.3">
      <c r="A45" s="257">
        <f t="shared" si="1"/>
        <v>1</v>
      </c>
      <c r="B45" s="342">
        <v>2029</v>
      </c>
      <c r="C45" s="343">
        <f>'NC Reach Code Impacts'!D12+SUM(P$36:P44)</f>
        <v>412927.92251918459</v>
      </c>
      <c r="D45" s="343">
        <f t="shared" si="2"/>
        <v>128148.89625131521</v>
      </c>
      <c r="E45" s="343">
        <f t="shared" si="3"/>
        <v>284779.0262678694</v>
      </c>
      <c r="F45" s="344">
        <f>($D45-SUM($I$36:$I44))*((AssessmentTrigger="Rental")+(AssessmentTrigger="Resale and rental"))*MoveRate</f>
        <v>0</v>
      </c>
      <c r="G45" s="344">
        <f>($E45-SUM($J$36:$J44))*((AssessmentTrigger="Home resale")+(AssessmentTrigger="Resale and rental"))*HomeResaleRate</f>
        <v>9392.6049782360205</v>
      </c>
      <c r="H45" s="344">
        <f>($C45-SUM($K$36:$K44))*(AssessmentTrigger="Major renovation")*RenovationRate+$C$20*(AssessmentTrigger="Other")</f>
        <v>0</v>
      </c>
      <c r="I45" s="344">
        <f t="shared" si="4"/>
        <v>0</v>
      </c>
      <c r="J45" s="344">
        <f t="shared" si="5"/>
        <v>9392.6049782360205</v>
      </c>
      <c r="K45" s="344">
        <f t="shared" si="6"/>
        <v>0</v>
      </c>
      <c r="L45" s="344">
        <f t="shared" si="16"/>
        <v>9392.6049782360205</v>
      </c>
      <c r="M45" s="344">
        <f t="shared" si="7"/>
        <v>939.26049782360212</v>
      </c>
      <c r="N45" s="345">
        <f>-MIN(AssessmentConvertFurnace+AssessmentConvertHouse,1)*(MAX(('NC Reach Code Impacts'!T12+SUM(N$36:N44)),0)/C45)*M45</f>
        <v>-42.566295674187792</v>
      </c>
      <c r="O45" s="345">
        <f>-MIN(AssessmentConvertDHW+AssessmentConvertHouse,1)*(MAX(('NC Reach Code Impacts'!U12+SUM(O$36:O44)),0)/C45)*$M45</f>
        <v>-32.599626100069649</v>
      </c>
      <c r="P45" s="345">
        <f t="shared" si="8"/>
        <v>-46.963024891180112</v>
      </c>
      <c r="Q45" s="345">
        <f>('NC Reach Code Impacts'!AD12/('NC Reach Code Impacts'!T12+'NC Reach Code Impacts'!M12))*R45</f>
        <v>20.137408947469059</v>
      </c>
      <c r="R45" s="345">
        <f t="shared" si="17"/>
        <v>42.566295674187792</v>
      </c>
      <c r="S45" s="345">
        <f t="shared" si="17"/>
        <v>32.599626100069649</v>
      </c>
      <c r="T45" s="346">
        <v>0</v>
      </c>
      <c r="U45" s="345">
        <f t="shared" si="22"/>
        <v>-17.089785403452666</v>
      </c>
      <c r="V45" s="345">
        <f>$N45*('NC Reach Code Impacts'!$T12+SUM(V$36:V44))/('NC Reach Code Impacts'!$M12+'NC Reach Code Impacts'!$T12+SUM(N$36:N44))</f>
        <v>-25.476510270735126</v>
      </c>
      <c r="W45" s="345">
        <f t="shared" si="18"/>
        <v>-20.039155084876374</v>
      </c>
      <c r="X45" s="345">
        <f>$O45*('NC Reach Code Impacts'!$U12+SUM(X$36:X44))/('NC Reach Code Impacts'!$N12+'NC Reach Code Impacts'!$U12+SUM(O$36:O44))</f>
        <v>-12.560471015193276</v>
      </c>
      <c r="Y45" s="347">
        <f>MAX(M45*'NC Reach Code Impacts'!T12/'NC Reach Code Impacts'!D12+N45,0)</f>
        <v>383.71013068154195</v>
      </c>
      <c r="Z45" s="347">
        <f>MAX($M45*'NC Reach Code Impacts'!U12/'NC Reach Code Impacts'!$D12+O45,0)</f>
        <v>294.03764882977248</v>
      </c>
      <c r="AA45" s="347">
        <f t="shared" si="19"/>
        <v>892.29747293242201</v>
      </c>
      <c r="AB45" s="347">
        <f>MAX($M45*('NC Reach Code Impacts'!W12-SUM(AB$36:AB44))/'NC Reach Code Impacts'!$D12,0)</f>
        <v>118.42419406052966</v>
      </c>
      <c r="AC45" s="347">
        <f>MAX($M45*('NC Reach Code Impacts'!X12-SUM(AC$36:AC44))/'NC Reach Code Impacts'!$D12,0)</f>
        <v>111.08005799476038</v>
      </c>
      <c r="AD45" s="347">
        <f>MAX($M45*('NC Reach Code Impacts'!Y12-SUM(AD$36:AD44))/'NC Reach Code Impacts'!$D12,0)</f>
        <v>31.120642621580693</v>
      </c>
      <c r="AE45" s="347">
        <f t="shared" si="20"/>
        <v>939.26049782360212</v>
      </c>
      <c r="AF45" s="344">
        <f>'NC Reach Code Impacts'!M12</f>
        <v>125716.31317659249</v>
      </c>
      <c r="AG45" s="344">
        <f>'NC Reach Code Impacts'!N12</f>
        <v>229082.05910812269</v>
      </c>
      <c r="AH45" s="344">
        <f>'NC Reach Code Impacts'!O12</f>
        <v>0</v>
      </c>
      <c r="AI45" s="344">
        <f>'NC Reach Code Impacts'!P12+SUM(Q$36:Q45)</f>
        <v>67842.891884916608</v>
      </c>
      <c r="AJ45" s="344">
        <f>'NC Reach Code Impacts'!Q12+SUM(R$36:R45)</f>
        <v>64752.45783659842</v>
      </c>
      <c r="AK45" s="344">
        <f>'NC Reach Code Impacts'!R12+SUM(S$36:S45)</f>
        <v>41243.464110174042</v>
      </c>
      <c r="AL45" s="344">
        <f>'NC Reach Code Impacts'!S12</f>
        <v>14408.01708218945</v>
      </c>
      <c r="AM45" s="348">
        <f>MAX('NC Reach Code Impacts'!T12+SUM(N$36:N45),0)</f>
        <v>187092.01546101255</v>
      </c>
      <c r="AN45" s="348">
        <f>MAX('NC Reach Code Impacts'!U12+SUM(O$36:O45),0)</f>
        <v>143285.42462378219</v>
      </c>
      <c r="AO45" s="348">
        <f>MAX('NC Reach Code Impacts'!V12+SUM(P$36:P45),0)</f>
        <v>412880.9594942932</v>
      </c>
      <c r="AP45" s="348">
        <f>'NC Reach Code Impacts'!W12</f>
        <v>53491.000517206092</v>
      </c>
      <c r="AQ45" s="348">
        <f>'NC Reach Code Impacts'!X12</f>
        <v>50173.729167301834</v>
      </c>
      <c r="AR45" s="348">
        <f>'NC Reach Code Impacts'!Y12</f>
        <v>14123.56779942639</v>
      </c>
      <c r="AS45" s="348">
        <f>'NC Reach Code Impacts'!Z12</f>
        <v>413326.49855931586</v>
      </c>
      <c r="AT45" s="349">
        <f>MAX(AM45-SUM(Y$36:Y45),0)</f>
        <v>182650.75045701221</v>
      </c>
      <c r="AU45" s="349">
        <f>MAX(AN45-SUM(Z$36:Z45),0)</f>
        <v>139205.2404538636</v>
      </c>
      <c r="AV45" s="349">
        <f>MAX(AO45-SUM(AA$36:AA45),0)</f>
        <v>404415.71725886257</v>
      </c>
      <c r="AW45" s="349">
        <f>MAX(AP45-SUM(AB$36:AB45),0)</f>
        <v>51994.762285267316</v>
      </c>
      <c r="AX45" s="349">
        <f>MAX(AQ45-SUM(AC$36:AC45),0)</f>
        <v>48770.280903235231</v>
      </c>
      <c r="AY45" s="349">
        <f>MAX(AR45-SUM(AD$36:AD45),0)</f>
        <v>13663.681041787697</v>
      </c>
      <c r="AZ45" s="349">
        <f>MAX(AS45-SUM(AE$36:AE45),0)</f>
        <v>404415.71725886257</v>
      </c>
      <c r="BA45" s="344">
        <f t="shared" si="9"/>
        <v>-28766.303283297999</v>
      </c>
      <c r="BB45" s="344">
        <f t="shared" si="10"/>
        <v>-869427.74782743363</v>
      </c>
      <c r="BC45" s="344">
        <f>U45*'Appliance Stock Profile'!$B$21+V45*'Appliance Stock Profile'!$B$20+W45*'Appliance Stock Profile'!$C$21+X45*'Appliance Stock Profile'!$C$20+P45*'Appliance Stock Profile'!$D$20</f>
        <v>-17057.960705686135</v>
      </c>
      <c r="BD45" s="344">
        <f t="shared" si="11"/>
        <v>86041.150871123711</v>
      </c>
      <c r="BE45" s="344">
        <f>GasEmissions*(BA45+BC45)+'stock-flow model'!$B11*(BB45+BD45)/1000</f>
        <v>-247.20159809984241</v>
      </c>
      <c r="BF45" s="344">
        <f>GasEmissions*(SUM($BA$36:$BA45)+SUM($BC$36:$BC45))+'stock-flow model'!$B11*(SUM($BB$36:$BB45)+SUM($BD$36:$BD45))/1000</f>
        <v>-3086.0946771770518</v>
      </c>
      <c r="BG45" s="343">
        <f>'NC Reach Code Impacts'!AC12+BF45</f>
        <v>824873.85437656322</v>
      </c>
      <c r="BH45" s="344">
        <f t="shared" si="12"/>
        <v>306400.62323938264</v>
      </c>
      <c r="BI45" s="344">
        <f t="shared" si="13"/>
        <v>6407.7053982224461</v>
      </c>
      <c r="BJ45" s="344">
        <f t="shared" si="14"/>
        <v>412880.9594942932</v>
      </c>
      <c r="BK45" s="347">
        <f>'NC Reach Code Impacts'!E12-SUM(P$36:P45)</f>
        <v>14853.556147212115</v>
      </c>
      <c r="BL45" s="350">
        <f t="shared" si="15"/>
        <v>404415.71725886257</v>
      </c>
      <c r="BM45" s="36">
        <f t="shared" si="21"/>
        <v>-210.95370469435557</v>
      </c>
      <c r="BN45" s="36">
        <f t="shared" si="23"/>
        <v>-3086.0946771770518</v>
      </c>
      <c r="BO45" s="36">
        <f t="shared" si="24"/>
        <v>0</v>
      </c>
    </row>
    <row r="46" spans="1:67" hidden="1" x14ac:dyDescent="0.3">
      <c r="A46" s="257">
        <f t="shared" si="1"/>
        <v>1</v>
      </c>
      <c r="B46" s="342">
        <v>2030</v>
      </c>
      <c r="C46" s="343">
        <f>'NC Reach Code Impacts'!D13+SUM(P$36:P45)</f>
        <v>412880.95949429343</v>
      </c>
      <c r="D46" s="343">
        <f t="shared" si="2"/>
        <v>128134.32165009253</v>
      </c>
      <c r="E46" s="343">
        <f t="shared" si="3"/>
        <v>284746.63784420089</v>
      </c>
      <c r="F46" s="344">
        <f>($D46-SUM($I$36:$I45))*((AssessmentTrigger="Rental")+(AssessmentTrigger="Resale and rental"))*MoveRate</f>
        <v>0</v>
      </c>
      <c r="G46" s="344">
        <f>($E46-SUM($J$36:$J45))*((AssessmentTrigger="Home resale")+(AssessmentTrigger="Resale and rental"))*HomeResaleRate</f>
        <v>8960.9089301195054</v>
      </c>
      <c r="H46" s="344">
        <f>($C46-SUM($K$36:$K45))*(AssessmentTrigger="Major renovation")*RenovationRate+$C$20*(AssessmentTrigger="Other")</f>
        <v>0</v>
      </c>
      <c r="I46" s="344">
        <f t="shared" si="4"/>
        <v>0</v>
      </c>
      <c r="J46" s="344">
        <f t="shared" si="5"/>
        <v>8960.9089301195054</v>
      </c>
      <c r="K46" s="344">
        <f t="shared" si="6"/>
        <v>0</v>
      </c>
      <c r="L46" s="344">
        <f t="shared" si="16"/>
        <v>8960.9089301195054</v>
      </c>
      <c r="M46" s="344">
        <f t="shared" si="7"/>
        <v>896.09089301195058</v>
      </c>
      <c r="N46" s="345">
        <f>-MIN(AssessmentConvertFurnace+AssessmentConvertHouse,1)*(MAX(('NC Reach Code Impacts'!T13+SUM(N$36:N45)),0)/C46)*M46</f>
        <v>-38.569660164876829</v>
      </c>
      <c r="O46" s="345">
        <f>-MIN(AssessmentConvertDHW+AssessmentConvertHouse,1)*(MAX(('NC Reach Code Impacts'!U13+SUM(O$36:O45)),0)/C46)*$M46</f>
        <v>-28.261760249983237</v>
      </c>
      <c r="P46" s="345">
        <f t="shared" si="8"/>
        <v>-44.804544650597535</v>
      </c>
      <c r="Q46" s="345">
        <f>('NC Reach Code Impacts'!AD13/('NC Reach Code Impacts'!T13+'NC Reach Code Impacts'!M13))*R46</f>
        <v>17.357150057920176</v>
      </c>
      <c r="R46" s="345">
        <f t="shared" si="17"/>
        <v>38.569660164876829</v>
      </c>
      <c r="S46" s="345">
        <f t="shared" si="17"/>
        <v>28.261760249983237</v>
      </c>
      <c r="T46" s="346">
        <v>0</v>
      </c>
      <c r="U46" s="345">
        <f t="shared" si="22"/>
        <v>-16.641665301631843</v>
      </c>
      <c r="V46" s="345">
        <f>$N46*('NC Reach Code Impacts'!$T13+SUM(V$36:V45))/('NC Reach Code Impacts'!$M13+'NC Reach Code Impacts'!$T13+SUM(N$36:N45))</f>
        <v>-21.927994863244987</v>
      </c>
      <c r="W46" s="345">
        <f t="shared" si="18"/>
        <v>-18.364409557962901</v>
      </c>
      <c r="X46" s="345">
        <f>$O46*('NC Reach Code Impacts'!$U13+SUM(X$36:X45))/('NC Reach Code Impacts'!$N13+'NC Reach Code Impacts'!$U13+SUM(O$36:O45))</f>
        <v>-9.8973506920203373</v>
      </c>
      <c r="Y46" s="347">
        <f>MAX(M46*'NC Reach Code Impacts'!T13/'NC Reach Code Impacts'!D13+N46,0)</f>
        <v>347.78034947115901</v>
      </c>
      <c r="Z46" s="347">
        <f>MAX($M46*'NC Reach Code Impacts'!U13/'NC Reach Code Impacts'!$D13+O46,0)</f>
        <v>255.03334077614937</v>
      </c>
      <c r="AA46" s="347">
        <f t="shared" si="19"/>
        <v>851.28634836135302</v>
      </c>
      <c r="AB46" s="347">
        <f>MAX($M46*('NC Reach Code Impacts'!W13-SUM(AB$36:AB45))/'NC Reach Code Impacts'!$D13,0)</f>
        <v>104.99330002949334</v>
      </c>
      <c r="AC46" s="347">
        <f>MAX($M46*('NC Reach Code Impacts'!X13-SUM(AC$36:AC45))/'NC Reach Code Impacts'!$D13,0)</f>
        <v>98.482087624563491</v>
      </c>
      <c r="AD46" s="347">
        <f>MAX($M46*('NC Reach Code Impacts'!Y13-SUM(AD$36:AD45))/'NC Reach Code Impacts'!$D13,0)</f>
        <v>26.560842667096093</v>
      </c>
      <c r="AE46" s="347">
        <f t="shared" si="20"/>
        <v>896.09089301195058</v>
      </c>
      <c r="AF46" s="344">
        <f>'NC Reach Code Impacts'!M13</f>
        <v>135095.57181316096</v>
      </c>
      <c r="AG46" s="344">
        <f>'NC Reach Code Impacts'!N13</f>
        <v>242149.19025288452</v>
      </c>
      <c r="AH46" s="344">
        <f>'NC Reach Code Impacts'!O13</f>
        <v>0</v>
      </c>
      <c r="AI46" s="344">
        <f>'NC Reach Code Impacts'!P13+SUM(Q$36:Q46)</f>
        <v>73027.20652303152</v>
      </c>
      <c r="AJ46" s="344">
        <f>'NC Reach Code Impacts'!Q13+SUM(R$36:R46)</f>
        <v>69736.83356149336</v>
      </c>
      <c r="AK46" s="344">
        <f>'NC Reach Code Impacts'!R13+SUM(S$36:S46)</f>
        <v>44284.973437276603</v>
      </c>
      <c r="AL46" s="344">
        <f>'NC Reach Code Impacts'!S13</f>
        <v>16008.907869099388</v>
      </c>
      <c r="AM46" s="348">
        <f>MAX('NC Reach Code Impacts'!T13+SUM(N$36:N46),0)</f>
        <v>177674.18716427922</v>
      </c>
      <c r="AN46" s="348">
        <f>MAX('NC Reach Code Impacts'!U13+SUM(O$36:O46),0)</f>
        <v>130190.03171877038</v>
      </c>
      <c r="AO46" s="348">
        <f>MAX('NC Reach Code Impacts'!V13+SUM(P$36:P46),0)</f>
        <v>412836.1549496426</v>
      </c>
      <c r="AP46" s="348">
        <f>'NC Reach Code Impacts'!W13</f>
        <v>49924.93381605902</v>
      </c>
      <c r="AQ46" s="348">
        <f>'NC Reach Code Impacts'!X13</f>
        <v>46828.813889481709</v>
      </c>
      <c r="AR46" s="348">
        <f>'NC Reach Code Impacts'!Y13</f>
        <v>12711.211019483751</v>
      </c>
      <c r="AS46" s="348">
        <f>'NC Reach Code Impacts'!Z13</f>
        <v>413326.49855931586</v>
      </c>
      <c r="AT46" s="349">
        <f>MAX(AM46-SUM(Y$36:Y46),0)</f>
        <v>172885.14181080775</v>
      </c>
      <c r="AU46" s="349">
        <f>MAX(AN46-SUM(Z$36:Z46),0)</f>
        <v>125854.81420807564</v>
      </c>
      <c r="AV46" s="349">
        <f>MAX(AO46-SUM(AA$36:AA46),0)</f>
        <v>403519.62636585062</v>
      </c>
      <c r="AW46" s="349">
        <f>MAX(AP46-SUM(AB$36:AB46),0)</f>
        <v>48323.702284090752</v>
      </c>
      <c r="AX46" s="349">
        <f>MAX(AQ46-SUM(AC$36:AC46),0)</f>
        <v>45326.883537790542</v>
      </c>
      <c r="AY46" s="349">
        <f>MAX(AR46-SUM(AD$36:AD46),0)</f>
        <v>12224.763419177963</v>
      </c>
      <c r="AZ46" s="349">
        <f>MAX(AS46-SUM(AE$36:AE46),0)</f>
        <v>403519.62636585062</v>
      </c>
      <c r="BA46" s="344">
        <f t="shared" si="9"/>
        <v>-25792.169559884216</v>
      </c>
      <c r="BB46" s="344">
        <f t="shared" si="10"/>
        <v>-826098.21341492166</v>
      </c>
      <c r="BC46" s="344">
        <f>U46*'Appliance Stock Profile'!$B$21+V46*'Appliance Stock Profile'!$B$20+W46*'Appliance Stock Profile'!$C$21+X46*'Appliance Stock Profile'!$C$20+P46*'Appliance Stock Profile'!$D$20</f>
        <v>-15109.811148596284</v>
      </c>
      <c r="BD46" s="344">
        <f t="shared" si="11"/>
        <v>76698.279919340581</v>
      </c>
      <c r="BE46" s="344">
        <f>GasEmissions*(BA46+BC46)+'stock-flow model'!$B12*(BB46+BD46)/1000</f>
        <v>-216.78049775494665</v>
      </c>
      <c r="BF46" s="344">
        <f>GasEmissions*(SUM($BA$36:$BA46)+SUM($BC$36:$BC46))+'stock-flow model'!$B12*(SUM($BB$36:$BB46)+SUM($BD$36:$BD46))/1000</f>
        <v>-3262.2942825682853</v>
      </c>
      <c r="BG46" s="343">
        <f>'NC Reach Code Impacts'!AC13+BF46</f>
        <v>799887.00851199322</v>
      </c>
      <c r="BH46" s="344">
        <f t="shared" si="12"/>
        <v>306383.26608932472</v>
      </c>
      <c r="BI46" s="344">
        <f t="shared" si="13"/>
        <v>6386.4928881154701</v>
      </c>
      <c r="BJ46" s="344">
        <f t="shared" si="14"/>
        <v>412836.1549496426</v>
      </c>
      <c r="BK46" s="347">
        <f>'NC Reach Code Impacts'!E13-SUM(P$36:P46)</f>
        <v>16499.25147877265</v>
      </c>
      <c r="BL46" s="350">
        <f t="shared" si="15"/>
        <v>403519.62636585062</v>
      </c>
      <c r="BM46" s="36">
        <f t="shared" si="21"/>
        <v>-176.19960539123349</v>
      </c>
      <c r="BN46" s="36">
        <f t="shared" si="23"/>
        <v>-3262.2942825682853</v>
      </c>
      <c r="BO46" s="36">
        <f t="shared" si="24"/>
        <v>0</v>
      </c>
    </row>
    <row r="47" spans="1:67" hidden="1" x14ac:dyDescent="0.3">
      <c r="A47" s="257">
        <f t="shared" si="1"/>
        <v>1</v>
      </c>
      <c r="B47" s="342">
        <v>2031</v>
      </c>
      <c r="C47" s="343">
        <f>'NC Reach Code Impacts'!D14+SUM(P$36:P46)</f>
        <v>412836.15494964289</v>
      </c>
      <c r="D47" s="343">
        <f t="shared" si="2"/>
        <v>128120.4169160436</v>
      </c>
      <c r="E47" s="343">
        <f t="shared" si="3"/>
        <v>284715.73803359928</v>
      </c>
      <c r="F47" s="344">
        <f>($D47-SUM($I$36:$I46))*((AssessmentTrigger="Rental")+(AssessmentTrigger="Resale and rental"))*MoveRate</f>
        <v>0</v>
      </c>
      <c r="G47" s="344">
        <f>($E47-SUM($J$36:$J46))*((AssessmentTrigger="Home resale")+(AssessmentTrigger="Resale and rental"))*HomeResaleRate</f>
        <v>8549.0541803852029</v>
      </c>
      <c r="H47" s="344">
        <f>($C47-SUM($K$36:$K46))*(AssessmentTrigger="Major renovation")*RenovationRate+$C$20*(AssessmentTrigger="Other")</f>
        <v>0</v>
      </c>
      <c r="I47" s="344">
        <f t="shared" si="4"/>
        <v>0</v>
      </c>
      <c r="J47" s="344">
        <f t="shared" si="5"/>
        <v>8549.0541803852029</v>
      </c>
      <c r="K47" s="344">
        <f t="shared" si="6"/>
        <v>0</v>
      </c>
      <c r="L47" s="344">
        <f t="shared" si="16"/>
        <v>8549.0541803852029</v>
      </c>
      <c r="M47" s="344">
        <f t="shared" si="7"/>
        <v>854.90541803852034</v>
      </c>
      <c r="N47" s="345">
        <f>-MIN(AssessmentConvertFurnace+AssessmentConvertHouse,1)*(MAX(('NC Reach Code Impacts'!T14+SUM(N$36:N46)),0)/C47)*M47</f>
        <v>-34.94780276587538</v>
      </c>
      <c r="O47" s="345">
        <f>-MIN(AssessmentConvertDHW+AssessmentConvertHouse,1)*(MAX(('NC Reach Code Impacts'!U14+SUM(O$36:O46)),0)/C47)*$M47</f>
        <v>-24.49992840375057</v>
      </c>
      <c r="P47" s="345">
        <f t="shared" si="8"/>
        <v>-42.74527090192602</v>
      </c>
      <c r="Q47" s="345">
        <f>('NC Reach Code Impacts'!AD14/('NC Reach Code Impacts'!T14+'NC Reach Code Impacts'!M14))*R47</f>
        <v>14.962798263370891</v>
      </c>
      <c r="R47" s="345">
        <f t="shared" si="17"/>
        <v>34.94780276587538</v>
      </c>
      <c r="S47" s="345">
        <f t="shared" si="17"/>
        <v>24.49992840375057</v>
      </c>
      <c r="T47" s="346">
        <v>0</v>
      </c>
      <c r="U47" s="345">
        <f t="shared" si="22"/>
        <v>-16.074546559007878</v>
      </c>
      <c r="V47" s="345">
        <f>$N47*('NC Reach Code Impacts'!$T14+SUM(V$36:V46))/('NC Reach Code Impacts'!$M14+'NC Reach Code Impacts'!$T14+SUM(N$36:N46))</f>
        <v>-18.873256206867502</v>
      </c>
      <c r="W47" s="345">
        <f t="shared" si="18"/>
        <v>-16.701634441711512</v>
      </c>
      <c r="X47" s="345">
        <f>$O47*('NC Reach Code Impacts'!$U14+SUM(X$36:X46))/('NC Reach Code Impacts'!$N14+'NC Reach Code Impacts'!$U14+SUM(O$36:O46))</f>
        <v>-7.7982939620390566</v>
      </c>
      <c r="Y47" s="347">
        <f>MAX(M47*'NC Reach Code Impacts'!T14/'NC Reach Code Impacts'!D14+N47,0)</f>
        <v>315.21542634311947</v>
      </c>
      <c r="Z47" s="347">
        <f>MAX($M47*'NC Reach Code Impacts'!U14/'NC Reach Code Impacts'!$D14+O47,0)</f>
        <v>221.20416119424391</v>
      </c>
      <c r="AA47" s="347">
        <f t="shared" si="19"/>
        <v>812.16014713659433</v>
      </c>
      <c r="AB47" s="347">
        <f>MAX($M47*('NC Reach Code Impacts'!W14-SUM(AB$36:AB46))/'NC Reach Code Impacts'!$D14,0)</f>
        <v>93.066349747212513</v>
      </c>
      <c r="AC47" s="347">
        <f>MAX($M47*('NC Reach Code Impacts'!X14-SUM(AC$36:AC46))/'NC Reach Code Impacts'!$D14,0)</f>
        <v>87.294793173741951</v>
      </c>
      <c r="AD47" s="347">
        <f>MAX($M47*('NC Reach Code Impacts'!Y14-SUM(AD$36:AD46))/'NC Reach Code Impacts'!$D14,0)</f>
        <v>22.65600728938438</v>
      </c>
      <c r="AE47" s="347">
        <f t="shared" si="20"/>
        <v>854.90541803852034</v>
      </c>
      <c r="AF47" s="344">
        <f>'NC Reach Code Impacts'!M14</f>
        <v>144005.86751790097</v>
      </c>
      <c r="AG47" s="344">
        <f>'NC Reach Code Impacts'!N14</f>
        <v>254028.40038448619</v>
      </c>
      <c r="AH47" s="344">
        <f>'NC Reach Code Impacts'!O14</f>
        <v>0</v>
      </c>
      <c r="AI47" s="344">
        <f>'NC Reach Code Impacts'!P14+SUM(Q$36:Q47)</f>
        <v>77971.389029275437</v>
      </c>
      <c r="AJ47" s="344">
        <f>'NC Reach Code Impacts'!Q14+SUM(R$36:R47)</f>
        <v>74494.593077134617</v>
      </c>
      <c r="AK47" s="344">
        <f>'NC Reach Code Impacts'!R14+SUM(S$36:S47)</f>
        <v>47181.48525453866</v>
      </c>
      <c r="AL47" s="344">
        <f>'NC Reach Code Impacts'!S14</f>
        <v>17609.798656009327</v>
      </c>
      <c r="AM47" s="348">
        <f>MAX('NC Reach Code Impacts'!T14+SUM(N$36:N47),0)</f>
        <v>168728.94365677334</v>
      </c>
      <c r="AN47" s="348">
        <f>MAX('NC Reach Code Impacts'!U14+SUM(O$36:O47),0)</f>
        <v>118286.32165876497</v>
      </c>
      <c r="AO47" s="348">
        <f>MAX('NC Reach Code Impacts'!V14+SUM(P$36:P47),0)</f>
        <v>412793.40967874066</v>
      </c>
      <c r="AP47" s="348">
        <f>'NC Reach Code Impacts'!W14</f>
        <v>46596.604894988421</v>
      </c>
      <c r="AQ47" s="348">
        <f>'NC Reach Code Impacts'!X14</f>
        <v>43706.892963516264</v>
      </c>
      <c r="AR47" s="348">
        <f>'NC Reach Code Impacts'!Y14</f>
        <v>11440.089917535377</v>
      </c>
      <c r="AS47" s="348">
        <f>'NC Reach Code Impacts'!Z14</f>
        <v>413326.49855931586</v>
      </c>
      <c r="AT47" s="349">
        <f>MAX(AM47-SUM(Y$36:Y47),0)</f>
        <v>163624.68287695872</v>
      </c>
      <c r="AU47" s="349">
        <f>MAX(AN47-SUM(Z$36:Z47),0)</f>
        <v>113729.89998687599</v>
      </c>
      <c r="AV47" s="349">
        <f>MAX(AO47-SUM(AA$36:AA47),0)</f>
        <v>402664.72094781208</v>
      </c>
      <c r="AW47" s="349">
        <f>MAX(AP47-SUM(AB$36:AB47),0)</f>
        <v>44902.307013272941</v>
      </c>
      <c r="AX47" s="349">
        <f>MAX(AQ47-SUM(AC$36:AC47),0)</f>
        <v>42117.667818651353</v>
      </c>
      <c r="AY47" s="349">
        <f>MAX(AR47-SUM(AD$36:AD47),0)</f>
        <v>10930.986309940205</v>
      </c>
      <c r="AZ47" s="349">
        <f>MAX(AS47-SUM(AE$36:AE47),0)</f>
        <v>402664.72094781208</v>
      </c>
      <c r="BA47" s="344">
        <f t="shared" si="9"/>
        <v>-23148.210103705336</v>
      </c>
      <c r="BB47" s="344">
        <f t="shared" si="10"/>
        <v>-785152.54523285734</v>
      </c>
      <c r="BC47" s="344">
        <f>U47*'Appliance Stock Profile'!$B$21+V47*'Appliance Stock Profile'!$B$20+W47*'Appliance Stock Profile'!$C$21+X47*'Appliance Stock Profile'!$C$20+P47*'Appliance Stock Profile'!$D$20</f>
        <v>-13407.960815298238</v>
      </c>
      <c r="BD47" s="344">
        <f t="shared" si="11"/>
        <v>68401.981871577911</v>
      </c>
      <c r="BE47" s="344">
        <f>GasEmissions*(BA47+BC47)+'stock-flow model'!$B13*(BB47+BD47)/1000</f>
        <v>-193.74770587071896</v>
      </c>
      <c r="BF47" s="344">
        <f>GasEmissions*(SUM($BA$36:$BA47)+SUM($BC$36:$BC47))+'stock-flow model'!$B13*(SUM($BB$36:$BB47)+SUM($BD$36:$BD47))/1000</f>
        <v>-3456.0419884390044</v>
      </c>
      <c r="BG47" s="343">
        <f>'NC Reach Code Impacts'!AC14+BF47</f>
        <v>791010.38175846986</v>
      </c>
      <c r="BH47" s="344">
        <f t="shared" si="12"/>
        <v>306368.30329106131</v>
      </c>
      <c r="BI47" s="344">
        <f t="shared" si="13"/>
        <v>6366.507883612976</v>
      </c>
      <c r="BJ47" s="344">
        <f t="shared" si="14"/>
        <v>412793.40967874066</v>
      </c>
      <c r="BK47" s="347">
        <f>'NC Reach Code Impacts'!E14-SUM(P$36:P47)</f>
        <v>18142.887536584516</v>
      </c>
      <c r="BL47" s="350">
        <f t="shared" si="15"/>
        <v>402664.72094781208</v>
      </c>
      <c r="BM47" s="36">
        <f t="shared" si="21"/>
        <v>-193.74770587071907</v>
      </c>
      <c r="BN47" s="36">
        <f t="shared" si="23"/>
        <v>-3456.0419884390044</v>
      </c>
      <c r="BO47" s="36">
        <f t="shared" si="24"/>
        <v>0</v>
      </c>
    </row>
    <row r="48" spans="1:67" hidden="1" x14ac:dyDescent="0.3">
      <c r="A48" s="257">
        <f t="shared" si="1"/>
        <v>1</v>
      </c>
      <c r="B48" s="342">
        <v>2032</v>
      </c>
      <c r="C48" s="343">
        <f>'NC Reach Code Impacts'!D15+SUM(P$36:P47)</f>
        <v>412793.40967874095</v>
      </c>
      <c r="D48" s="343">
        <f t="shared" si="2"/>
        <v>128107.15126122271</v>
      </c>
      <c r="E48" s="343">
        <f t="shared" si="3"/>
        <v>284686.25841751823</v>
      </c>
      <c r="F48" s="344">
        <f>($D48-SUM($I$36:$I47))*((AssessmentTrigger="Rental")+(AssessmentTrigger="Resale and rental"))*MoveRate</f>
        <v>0</v>
      </c>
      <c r="G48" s="344">
        <f>($E48-SUM($J$36:$J47))*((AssessmentTrigger="Home resale")+(AssessmentTrigger="Resale and rental"))*HomeResaleRate</f>
        <v>8156.1287977721922</v>
      </c>
      <c r="H48" s="344">
        <f>($C48-SUM($K$36:$K47))*(AssessmentTrigger="Major renovation")*RenovationRate+$C$20*(AssessmentTrigger="Other")</f>
        <v>0</v>
      </c>
      <c r="I48" s="344">
        <f t="shared" si="4"/>
        <v>0</v>
      </c>
      <c r="J48" s="344">
        <f t="shared" si="5"/>
        <v>8156.1287977721922</v>
      </c>
      <c r="K48" s="344">
        <f t="shared" si="6"/>
        <v>0</v>
      </c>
      <c r="L48" s="344">
        <f t="shared" si="16"/>
        <v>8156.1287977721922</v>
      </c>
      <c r="M48" s="344">
        <f t="shared" si="7"/>
        <v>815.61287977721929</v>
      </c>
      <c r="N48" s="345">
        <f>-MIN(AssessmentConvertFurnace+AssessmentConvertHouse,1)*(MAX(('NC Reach Code Impacts'!T15+SUM(N$36:N47)),0)/C48)*M48</f>
        <v>-31.665601298469998</v>
      </c>
      <c r="O48" s="345">
        <f>-MIN(AssessmentConvertDHW+AssessmentConvertHouse,1)*(MAX(('NC Reach Code Impacts'!U15+SUM(O$36:O47)),0)/C48)*$M48</f>
        <v>-21.237697102227607</v>
      </c>
      <c r="P48" s="345">
        <f t="shared" si="8"/>
        <v>-40.780643988860966</v>
      </c>
      <c r="Q48" s="345">
        <f>('NC Reach Code Impacts'!AD15/('NC Reach Code Impacts'!T15+'NC Reach Code Impacts'!M15))*R48</f>
        <v>12.900336383740346</v>
      </c>
      <c r="R48" s="345">
        <f t="shared" si="17"/>
        <v>31.665601298469998</v>
      </c>
      <c r="S48" s="345">
        <f t="shared" si="17"/>
        <v>21.237697102227607</v>
      </c>
      <c r="T48" s="346">
        <v>0</v>
      </c>
      <c r="U48" s="345">
        <f t="shared" si="22"/>
        <v>-15.421960973238395</v>
      </c>
      <c r="V48" s="345">
        <f>$N48*('NC Reach Code Impacts'!$T15+SUM(V$36:V47))/('NC Reach Code Impacts'!$M15+'NC Reach Code Impacts'!$T15+SUM(N$36:N47))</f>
        <v>-16.243640325231603</v>
      </c>
      <c r="W48" s="345">
        <f t="shared" si="18"/>
        <v>-15.093783078377847</v>
      </c>
      <c r="X48" s="345">
        <f>$O48*('NC Reach Code Impacts'!$U15+SUM(X$36:X47))/('NC Reach Code Impacts'!$N15+'NC Reach Code Impacts'!$U15+SUM(O$36:O47))</f>
        <v>-6.14391402384976</v>
      </c>
      <c r="Y48" s="347">
        <f>MAX(M48*'NC Reach Code Impacts'!T15/'NC Reach Code Impacts'!D15+N48,0)</f>
        <v>285.70021716119101</v>
      </c>
      <c r="Z48" s="347">
        <f>MAX($M48*'NC Reach Code Impacts'!U15/'NC Reach Code Impacts'!$D15+O48,0)</f>
        <v>191.86340992895401</v>
      </c>
      <c r="AA48" s="347">
        <f t="shared" si="19"/>
        <v>774.83223578835828</v>
      </c>
      <c r="AB48" s="347">
        <f>MAX($M48*('NC Reach Code Impacts'!W15-SUM(AB$36:AB47))/'NC Reach Code Impacts'!$D15,0)</f>
        <v>82.475348931513196</v>
      </c>
      <c r="AC48" s="347">
        <f>MAX($M48*('NC Reach Code Impacts'!X15-SUM(AC$36:AC47))/'NC Reach Code Impacts'!$D15,0)</f>
        <v>77.360598610179025</v>
      </c>
      <c r="AD48" s="347">
        <f>MAX($M48*('NC Reach Code Impacts'!Y15-SUM(AD$36:AD47))/'NC Reach Code Impacts'!$D15,0)</f>
        <v>19.312540528187327</v>
      </c>
      <c r="AE48" s="347">
        <f t="shared" si="20"/>
        <v>815.61287977721929</v>
      </c>
      <c r="AF48" s="344">
        <f>'NC Reach Code Impacts'!M15</f>
        <v>152470.64843740399</v>
      </c>
      <c r="AG48" s="344">
        <f>'NC Reach Code Impacts'!N15</f>
        <v>264827.68232230592</v>
      </c>
      <c r="AH48" s="344">
        <f>'NC Reach Code Impacts'!O15</f>
        <v>0</v>
      </c>
      <c r="AI48" s="344">
        <f>'NC Reach Code Impacts'!P15+SUM(Q$36:Q48)</f>
        <v>82691.620478901663</v>
      </c>
      <c r="AJ48" s="344">
        <f>'NC Reach Code Impacts'!Q15+SUM(R$36:R48)</f>
        <v>79040.942329577447</v>
      </c>
      <c r="AK48" s="344">
        <f>'NC Reach Code Impacts'!R15+SUM(S$36:S48)</f>
        <v>49947.622730304371</v>
      </c>
      <c r="AL48" s="344">
        <f>'NC Reach Code Impacts'!S15</f>
        <v>19210.689442919265</v>
      </c>
      <c r="AM48" s="348">
        <f>MAX('NC Reach Code Impacts'!T15+SUM(N$36:N48),0)</f>
        <v>160232.49713597185</v>
      </c>
      <c r="AN48" s="348">
        <f>MAX('NC Reach Code Impacts'!U15+SUM(O$36:O48),0)</f>
        <v>107465.802023843</v>
      </c>
      <c r="AO48" s="348">
        <f>MAX('NC Reach Code Impacts'!V15+SUM(P$36:P48),0)</f>
        <v>412752.62903475179</v>
      </c>
      <c r="AP48" s="348">
        <f>'NC Reach Code Impacts'!W15</f>
        <v>43490.164568655862</v>
      </c>
      <c r="AQ48" s="348">
        <f>'NC Reach Code Impacts'!X15</f>
        <v>40793.100099281844</v>
      </c>
      <c r="AR48" s="348">
        <f>'NC Reach Code Impacts'!Y15</f>
        <v>10296.08092578184</v>
      </c>
      <c r="AS48" s="348">
        <f>'NC Reach Code Impacts'!Z15</f>
        <v>413326.49855931586</v>
      </c>
      <c r="AT48" s="349">
        <f>MAX(AM48-SUM(Y$36:Y48),0)</f>
        <v>154842.53613899605</v>
      </c>
      <c r="AU48" s="349">
        <f>MAX(AN48-SUM(Z$36:Z48),0)</f>
        <v>102717.51694202507</v>
      </c>
      <c r="AV48" s="349">
        <f>MAX(AO48-SUM(AA$36:AA48),0)</f>
        <v>401849.10806803487</v>
      </c>
      <c r="AW48" s="349">
        <f>MAX(AP48-SUM(AB$36:AB48),0)</f>
        <v>41713.391338008863</v>
      </c>
      <c r="AX48" s="349">
        <f>MAX(AQ48-SUM(AC$36:AC48),0)</f>
        <v>39126.514355806758</v>
      </c>
      <c r="AY48" s="349">
        <f>MAX(AR48-SUM(AD$36:AD48),0)</f>
        <v>9767.6647776584796</v>
      </c>
      <c r="AZ48" s="349">
        <f>MAX(AS48-SUM(AE$36:AE48),0)</f>
        <v>401849.10806803487</v>
      </c>
      <c r="BA48" s="344">
        <f t="shared" si="9"/>
        <v>-20795.98587081995</v>
      </c>
      <c r="BB48" s="344">
        <f t="shared" si="10"/>
        <v>-746434.83011704788</v>
      </c>
      <c r="BC48" s="344">
        <f>U48*'Appliance Stock Profile'!$B$21+V48*'Appliance Stock Profile'!$B$20+W48*'Appliance Stock Profile'!$C$21+X48*'Appliance Stock Profile'!$C$20+P48*'Appliance Stock Profile'!$D$20</f>
        <v>-11918.02521266883</v>
      </c>
      <c r="BD48" s="344">
        <f t="shared" si="11"/>
        <v>61031.073803507359</v>
      </c>
      <c r="BE48" s="344">
        <f>GasEmissions*(BA48+BC48)+'stock-flow model'!$B14*(BB48+BD48)/1000</f>
        <v>-173.38425874249054</v>
      </c>
      <c r="BF48" s="344">
        <f>GasEmissions*(SUM($BA$36:$BA48)+SUM($BC$36:$BC48))+'stock-flow model'!$B14*(SUM($BB$36:$BB48)+SUM($BD$36:$BD48))/1000</f>
        <v>-3629.4262471814955</v>
      </c>
      <c r="BG48" s="343">
        <f>'NC Reach Code Impacts'!AC15+BF48</f>
        <v>782856.43658440711</v>
      </c>
      <c r="BH48" s="344">
        <f t="shared" si="12"/>
        <v>306355.40295467759</v>
      </c>
      <c r="BI48" s="344">
        <f t="shared" si="13"/>
        <v>6347.7426186982339</v>
      </c>
      <c r="BJ48" s="344">
        <f t="shared" si="14"/>
        <v>412752.62903475179</v>
      </c>
      <c r="BK48" s="347">
        <f>'NC Reach Code Impacts'!E15-SUM(P$36:P48)</f>
        <v>19784.558967483314</v>
      </c>
      <c r="BL48" s="350">
        <f t="shared" si="15"/>
        <v>401849.10806803487</v>
      </c>
      <c r="BM48" s="36">
        <f t="shared" si="21"/>
        <v>-173.38425874249106</v>
      </c>
      <c r="BN48" s="36">
        <f t="shared" si="23"/>
        <v>-3629.4262471814955</v>
      </c>
      <c r="BO48" s="36">
        <f t="shared" si="24"/>
        <v>0</v>
      </c>
    </row>
    <row r="49" spans="1:67" hidden="1" x14ac:dyDescent="0.3">
      <c r="A49" s="257">
        <f t="shared" si="1"/>
        <v>1</v>
      </c>
      <c r="B49" s="342">
        <v>2033</v>
      </c>
      <c r="C49" s="343">
        <f>'NC Reach Code Impacts'!D16+SUM(P$36:P48)</f>
        <v>412752.62903475214</v>
      </c>
      <c r="D49" s="343">
        <f t="shared" si="2"/>
        <v>128094.49531273732</v>
      </c>
      <c r="E49" s="343">
        <f t="shared" si="3"/>
        <v>284658.13372201484</v>
      </c>
      <c r="F49" s="344">
        <f>($D49-SUM($I$36:$I48))*((AssessmentTrigger="Rental")+(AssessmentTrigger="Resale and rental"))*MoveRate</f>
        <v>0</v>
      </c>
      <c r="G49" s="344">
        <f>($E49-SUM($J$36:$J48))*((AssessmentTrigger="Home resale")+(AssessmentTrigger="Resale and rental"))*HomeResaleRate</f>
        <v>7781.2627645379498</v>
      </c>
      <c r="H49" s="344">
        <f>($C49-SUM($K$36:$K48))*(AssessmentTrigger="Major renovation")*RenovationRate+$C$20*(AssessmentTrigger="Other")</f>
        <v>0</v>
      </c>
      <c r="I49" s="344">
        <f t="shared" si="4"/>
        <v>0</v>
      </c>
      <c r="J49" s="344">
        <f t="shared" si="5"/>
        <v>7781.2627645379498</v>
      </c>
      <c r="K49" s="344">
        <f t="shared" si="6"/>
        <v>0</v>
      </c>
      <c r="L49" s="344">
        <f t="shared" si="16"/>
        <v>7781.2627645379498</v>
      </c>
      <c r="M49" s="344">
        <f t="shared" si="7"/>
        <v>778.12627645379507</v>
      </c>
      <c r="N49" s="345">
        <f>-MIN(AssessmentConvertFurnace+AssessmentConvertHouse,1)*(MAX(('NC Reach Code Impacts'!T16+SUM(N$36:N48)),0)/C49)*M49</f>
        <v>-28.691223991777608</v>
      </c>
      <c r="O49" s="345">
        <f>-MIN(AssessmentConvertDHW+AssessmentConvertHouse,1)*(MAX(('NC Reach Code Impacts'!U16+SUM(O$36:O48)),0)/C49)*$M49</f>
        <v>-18.408771190900371</v>
      </c>
      <c r="P49" s="345">
        <f t="shared" si="8"/>
        <v>-38.906313822689754</v>
      </c>
      <c r="Q49" s="345">
        <f>('NC Reach Code Impacts'!AD16/('NC Reach Code Impacts'!T16+'NC Reach Code Impacts'!M16))*R49</f>
        <v>11.123400914889293</v>
      </c>
      <c r="R49" s="345">
        <f t="shared" si="17"/>
        <v>28.691223991777608</v>
      </c>
      <c r="S49" s="345">
        <f t="shared" si="17"/>
        <v>18.408771190900371</v>
      </c>
      <c r="T49" s="346">
        <v>0</v>
      </c>
      <c r="U49" s="345">
        <f t="shared" si="22"/>
        <v>-14.711192581174641</v>
      </c>
      <c r="V49" s="345">
        <f>$N49*('NC Reach Code Impacts'!$T16+SUM(V$36:V48))/('NC Reach Code Impacts'!$M16+'NC Reach Code Impacts'!$T16+SUM(N$36:N48))</f>
        <v>-13.980031410602967</v>
      </c>
      <c r="W49" s="345">
        <f t="shared" si="18"/>
        <v>-13.568691925959858</v>
      </c>
      <c r="X49" s="345">
        <f>$O49*('NC Reach Code Impacts'!$U16+SUM(X$36:X48))/('NC Reach Code Impacts'!$N16+'NC Reach Code Impacts'!$U16+SUM(O$36:O48))</f>
        <v>-4.8400792649405124</v>
      </c>
      <c r="Y49" s="347">
        <f>MAX(M49*'NC Reach Code Impacts'!T16/'NC Reach Code Impacts'!D16+N49,0)</f>
        <v>258.94909444731013</v>
      </c>
      <c r="Z49" s="347">
        <f>MAX($M49*'NC Reach Code Impacts'!U16/'NC Reach Code Impacts'!$D16+O49,0)</f>
        <v>166.41551029426134</v>
      </c>
      <c r="AA49" s="347">
        <f t="shared" si="19"/>
        <v>739.21996263110532</v>
      </c>
      <c r="AB49" s="347">
        <f>MAX($M49*('NC Reach Code Impacts'!W16-SUM(AB$36:AB48))/'NC Reach Code Impacts'!$D16,0)</f>
        <v>73.071119314873684</v>
      </c>
      <c r="AC49" s="347">
        <f>MAX($M49*('NC Reach Code Impacts'!X16-SUM(AC$36:AC48))/'NC Reach Code Impacts'!$D16,0)</f>
        <v>68.539577031780738</v>
      </c>
      <c r="AD49" s="347">
        <f>MAX($M49*('NC Reach Code Impacts'!Y16-SUM(AD$36:AD48))/'NC Reach Code Impacts'!$D16,0)</f>
        <v>16.450219222583812</v>
      </c>
      <c r="AE49" s="347">
        <f t="shared" si="20"/>
        <v>778.12627645379507</v>
      </c>
      <c r="AF49" s="344">
        <f>'NC Reach Code Impacts'!M16</f>
        <v>160512.19031093185</v>
      </c>
      <c r="AG49" s="344">
        <f>'NC Reach Code Impacts'!N16</f>
        <v>274645.21135668748</v>
      </c>
      <c r="AH49" s="344">
        <f>'NC Reach Code Impacts'!O16</f>
        <v>0</v>
      </c>
      <c r="AI49" s="344">
        <f>'NC Reach Code Impacts'!P16+SUM(Q$36:Q49)</f>
        <v>87202.978971303557</v>
      </c>
      <c r="AJ49" s="344">
        <f>'NC Reach Code Impacts'!Q16+SUM(R$36:R49)</f>
        <v>83390.064347097956</v>
      </c>
      <c r="AK49" s="344">
        <f>'NC Reach Code Impacts'!R16+SUM(S$36:S49)</f>
        <v>52596.530380983393</v>
      </c>
      <c r="AL49" s="344">
        <f>'NC Reach Code Impacts'!S16</f>
        <v>20811.580229829204</v>
      </c>
      <c r="AM49" s="348">
        <f>MAX('NC Reach Code Impacts'!T16+SUM(N$36:N49),0)</f>
        <v>152162.26403845221</v>
      </c>
      <c r="AN49" s="348">
        <f>MAX('NC Reach Code Impacts'!U16+SUM(O$36:O49),0)</f>
        <v>97629.864218270552</v>
      </c>
      <c r="AO49" s="348">
        <f>MAX('NC Reach Code Impacts'!V16+SUM(P$36:P49),0)</f>
        <v>412713.72272092913</v>
      </c>
      <c r="AP49" s="348">
        <f>'NC Reach Code Impacts'!W16</f>
        <v>40590.820264078808</v>
      </c>
      <c r="AQ49" s="348">
        <f>'NC Reach Code Impacts'!X16</f>
        <v>38073.560092663058</v>
      </c>
      <c r="AR49" s="348">
        <f>'NC Reach Code Impacts'!Y16</f>
        <v>9266.4728332036575</v>
      </c>
      <c r="AS49" s="348">
        <f>'NC Reach Code Impacts'!Z16</f>
        <v>413326.49855931586</v>
      </c>
      <c r="AT49" s="349">
        <f>MAX(AM49-SUM(Y$36:Y49),0)</f>
        <v>146513.3539470291</v>
      </c>
      <c r="AU49" s="349">
        <f>MAX(AN49-SUM(Z$36:Z49),0)</f>
        <v>92715.163626158348</v>
      </c>
      <c r="AV49" s="349">
        <f>MAX(AO49-SUM(AA$36:AA49),0)</f>
        <v>401070.98179158109</v>
      </c>
      <c r="AW49" s="349">
        <f>MAX(AP49-SUM(AB$36:AB49),0)</f>
        <v>38740.975914116942</v>
      </c>
      <c r="AX49" s="349">
        <f>MAX(AQ49-SUM(AC$36:AC49),0)</f>
        <v>36338.434772156186</v>
      </c>
      <c r="AY49" s="349">
        <f>MAX(AR49-SUM(AD$36:AD49),0)</f>
        <v>8721.6064658577143</v>
      </c>
      <c r="AZ49" s="349">
        <f>MAX(AS49-SUM(AE$36:AE49),0)</f>
        <v>401070.98179158109</v>
      </c>
      <c r="BA49" s="344">
        <f t="shared" si="9"/>
        <v>-18701.685847097931</v>
      </c>
      <c r="BB49" s="344">
        <f t="shared" si="10"/>
        <v>-709801.88659053692</v>
      </c>
      <c r="BC49" s="344">
        <f>U49*'Appliance Stock Profile'!$B$21+V49*'Appliance Stock Profile'!$B$20+W49*'Appliance Stock Profile'!$C$21+X49*'Appliance Stock Profile'!$C$20+P49*'Appliance Stock Profile'!$D$20</f>
        <v>-10610.903476687139</v>
      </c>
      <c r="BD49" s="344">
        <f t="shared" si="11"/>
        <v>54478.879309370925</v>
      </c>
      <c r="BE49" s="344">
        <f>GasEmissions*(BA49+BC49)+'stock-flow model'!$B15*(BB49+BD49)/1000</f>
        <v>-155.35672341606087</v>
      </c>
      <c r="BF49" s="344">
        <f>GasEmissions*(SUM($BA$36:$BA49)+SUM($BC$36:$BC49))+'stock-flow model'!$B15*(SUM($BB$36:$BB49)+SUM($BD$36:$BD49))/1000</f>
        <v>-3784.782970597556</v>
      </c>
      <c r="BG49" s="343">
        <f>'NC Reach Code Impacts'!AC16+BF49</f>
        <v>775363.34170048183</v>
      </c>
      <c r="BH49" s="344">
        <f t="shared" si="12"/>
        <v>306344.27955376275</v>
      </c>
      <c r="BI49" s="344">
        <f t="shared" si="13"/>
        <v>6330.1747956213512</v>
      </c>
      <c r="BJ49" s="344">
        <f t="shared" si="14"/>
        <v>412713.72272092913</v>
      </c>
      <c r="BK49" s="347">
        <f>'NC Reach Code Impacts'!E16-SUM(P$36:P49)</f>
        <v>21424.356068215944</v>
      </c>
      <c r="BL49" s="350">
        <f t="shared" si="15"/>
        <v>401070.98179158109</v>
      </c>
      <c r="BM49" s="36">
        <f t="shared" si="21"/>
        <v>-155.3567234160605</v>
      </c>
      <c r="BN49" s="36">
        <f t="shared" si="23"/>
        <v>-3784.782970597556</v>
      </c>
      <c r="BO49" s="36">
        <f t="shared" si="24"/>
        <v>0</v>
      </c>
    </row>
    <row r="50" spans="1:67" hidden="1" x14ac:dyDescent="0.3">
      <c r="A50" s="257">
        <f t="shared" si="1"/>
        <v>1</v>
      </c>
      <c r="B50" s="342">
        <v>2034</v>
      </c>
      <c r="C50" s="343">
        <f>'NC Reach Code Impacts'!D17+SUM(P$36:P49)</f>
        <v>412713.72272092948</v>
      </c>
      <c r="D50" s="343">
        <f t="shared" si="2"/>
        <v>128082.42104771023</v>
      </c>
      <c r="E50" s="343">
        <f t="shared" si="3"/>
        <v>284631.30167321925</v>
      </c>
      <c r="F50" s="344">
        <f>($D50-SUM($I$36:$I49))*((AssessmentTrigger="Rental")+(AssessmentTrigger="Resale and rental"))*MoveRate</f>
        <v>0</v>
      </c>
      <c r="G50" s="344">
        <f>($E50-SUM($J$36:$J49))*((AssessmentTrigger="Home resale")+(AssessmentTrigger="Resale and rental"))*HomeResaleRate</f>
        <v>7423.6260500598246</v>
      </c>
      <c r="H50" s="344">
        <f>($C50-SUM($K$36:$K49))*(AssessmentTrigger="Major renovation")*RenovationRate+$C$20*(AssessmentTrigger="Other")</f>
        <v>0</v>
      </c>
      <c r="I50" s="344">
        <f t="shared" si="4"/>
        <v>0</v>
      </c>
      <c r="J50" s="344">
        <f t="shared" si="5"/>
        <v>7423.6260500598246</v>
      </c>
      <c r="K50" s="344">
        <f t="shared" si="6"/>
        <v>0</v>
      </c>
      <c r="L50" s="344">
        <f t="shared" si="16"/>
        <v>7423.6260500598246</v>
      </c>
      <c r="M50" s="344">
        <f t="shared" si="7"/>
        <v>742.36260500598246</v>
      </c>
      <c r="N50" s="345">
        <f>-MIN(AssessmentConvertFurnace+AssessmentConvertHouse,1)*(MAX(('NC Reach Code Impacts'!T17+SUM(N$36:N49)),0)/C50)*M50</f>
        <v>-25.995821276075713</v>
      </c>
      <c r="O50" s="345">
        <f>-MIN(AssessmentConvertDHW+AssessmentConvertHouse,1)*(MAX(('NC Reach Code Impacts'!U17+SUM(O$36:O49)),0)/C50)*$M50</f>
        <v>-15.955649366116134</v>
      </c>
      <c r="P50" s="345">
        <f t="shared" si="8"/>
        <v>-37.118130250299124</v>
      </c>
      <c r="Q50" s="345">
        <f>('NC Reach Code Impacts'!AD17/('NC Reach Code Impacts'!T17+'NC Reach Code Impacts'!M17))*R50</f>
        <v>9.5921794652086998</v>
      </c>
      <c r="R50" s="345">
        <f t="shared" si="17"/>
        <v>25.995821276075713</v>
      </c>
      <c r="S50" s="345">
        <f t="shared" si="17"/>
        <v>15.955649366116134</v>
      </c>
      <c r="T50" s="346">
        <v>0</v>
      </c>
      <c r="U50" s="345">
        <f t="shared" si="22"/>
        <v>-13.964293425133834</v>
      </c>
      <c r="V50" s="345">
        <f>$N50*('NC Reach Code Impacts'!$T17+SUM(V$36:V49))/('NC Reach Code Impacts'!$M17+'NC Reach Code Impacts'!$T17+SUM(N$36:N49))</f>
        <v>-12.031527850941879</v>
      </c>
      <c r="W50" s="345">
        <f t="shared" si="18"/>
        <v>-12.143076090970482</v>
      </c>
      <c r="X50" s="345">
        <f>$O50*('NC Reach Code Impacts'!$U17+SUM(X$36:X49))/('NC Reach Code Impacts'!$N17+'NC Reach Code Impacts'!$U17+SUM(O$36:O49))</f>
        <v>-3.8125732751456516</v>
      </c>
      <c r="Y50" s="347">
        <f>MAX(M50*'NC Reach Code Impacts'!T17/'NC Reach Code Impacts'!D17+N50,0)</f>
        <v>234.70318277327218</v>
      </c>
      <c r="Z50" s="347">
        <f>MAX($M50*'NC Reach Code Impacts'!U17/'NC Reach Code Impacts'!$D17+O50,0)</f>
        <v>144.34391689333034</v>
      </c>
      <c r="AA50" s="347">
        <f t="shared" si="19"/>
        <v>705.24447475568331</v>
      </c>
      <c r="AB50" s="347">
        <f>MAX($M50*('NC Reach Code Impacts'!W17-SUM(AB$36:AB49))/'NC Reach Code Impacts'!$D17,0)</f>
        <v>64.721178266130735</v>
      </c>
      <c r="AC50" s="347">
        <f>MAX($M50*('NC Reach Code Impacts'!X17-SUM(AC$36:AC49))/'NC Reach Code Impacts'!$D17,0)</f>
        <v>60.707461784510194</v>
      </c>
      <c r="AD50" s="347">
        <f>MAX($M50*('NC Reach Code Impacts'!Y17-SUM(AD$36:AD49))/'NC Reach Code Impacts'!$D17,0)</f>
        <v>14.000278774367731</v>
      </c>
      <c r="AE50" s="347">
        <f t="shared" si="20"/>
        <v>742.36260500598246</v>
      </c>
      <c r="AF50" s="344">
        <f>'NC Reach Code Impacts'!M17</f>
        <v>168151.65509078332</v>
      </c>
      <c r="AG50" s="344">
        <f>'NC Reach Code Impacts'!N17</f>
        <v>283570.23775157979</v>
      </c>
      <c r="AH50" s="344">
        <f>'NC Reach Code Impacts'!O17</f>
        <v>0</v>
      </c>
      <c r="AI50" s="344">
        <f>'NC Reach Code Impacts'!P17+SUM(Q$36:Q50)</f>
        <v>91519.516621950621</v>
      </c>
      <c r="AJ50" s="344">
        <f>'NC Reach Code Impacts'!Q17+SUM(R$36:R50)</f>
        <v>87555.188294794832</v>
      </c>
      <c r="AK50" s="344">
        <f>'NC Reach Code Impacts'!R17+SUM(S$36:S50)</f>
        <v>55140.024100579816</v>
      </c>
      <c r="AL50" s="344">
        <f>'NC Reach Code Impacts'!S17</f>
        <v>22412.471016739142</v>
      </c>
      <c r="AM50" s="348">
        <f>MAX('NC Reach Code Impacts'!T17+SUM(N$36:N50),0)</f>
        <v>144496.80343732465</v>
      </c>
      <c r="AN50" s="348">
        <f>MAX('NC Reach Code Impacts'!U17+SUM(O$36:O50),0)</f>
        <v>88688.88217401212</v>
      </c>
      <c r="AO50" s="348">
        <f>MAX('NC Reach Code Impacts'!V17+SUM(P$36:P50),0)</f>
        <v>412676.60459067882</v>
      </c>
      <c r="AP50" s="348">
        <f>'NC Reach Code Impacts'!W17</f>
        <v>37884.765579806888</v>
      </c>
      <c r="AQ50" s="348">
        <f>'NC Reach Code Impacts'!X17</f>
        <v>35535.322753152184</v>
      </c>
      <c r="AR50" s="348">
        <f>'NC Reach Code Impacts'!Y17</f>
        <v>8339.8255498832914</v>
      </c>
      <c r="AS50" s="348">
        <f>'NC Reach Code Impacts'!Z17</f>
        <v>413326.49855931586</v>
      </c>
      <c r="AT50" s="349">
        <f>MAX(AM50-SUM(Y$36:Y50),0)</f>
        <v>138613.19016312828</v>
      </c>
      <c r="AU50" s="349">
        <f>MAX(AN50-SUM(Z$36:Z50),0)</f>
        <v>83629.837665006591</v>
      </c>
      <c r="AV50" s="349">
        <f>MAX(AO50-SUM(AA$36:AA50),0)</f>
        <v>400328.61918657512</v>
      </c>
      <c r="AW50" s="349">
        <f>MAX(AP50-SUM(AB$36:AB50),0)</f>
        <v>35970.20005157889</v>
      </c>
      <c r="AX50" s="349">
        <f>MAX(AQ50-SUM(AC$36:AC50),0)</f>
        <v>33739.489970860806</v>
      </c>
      <c r="AY50" s="349">
        <f>MAX(AR50-SUM(AD$36:AD50),0)</f>
        <v>7780.9589037629803</v>
      </c>
      <c r="AZ50" s="349">
        <f>MAX(AS50-SUM(AE$36:AE50),0)</f>
        <v>400328.61918657512</v>
      </c>
      <c r="BA50" s="344">
        <f t="shared" si="9"/>
        <v>-16835.555782354506</v>
      </c>
      <c r="BB50" s="344">
        <f t="shared" si="10"/>
        <v>-675121.99865064479</v>
      </c>
      <c r="BC50" s="344">
        <f>U50*'Appliance Stock Profile'!$B$21+V50*'Appliance Stock Profile'!$B$20+W50*'Appliance Stock Profile'!$C$21+X50*'Appliance Stock Profile'!$C$20+P50*'Appliance Stock Profile'!$D$20</f>
        <v>-9461.8932406583062</v>
      </c>
      <c r="BD50" s="344">
        <f t="shared" si="11"/>
        <v>48651.434997135664</v>
      </c>
      <c r="BE50" s="344">
        <f>GasEmissions*(BA50+BC50)+'stock-flow model'!$B16*(BB50+BD50)/1000</f>
        <v>-139.37647982196791</v>
      </c>
      <c r="BF50" s="344">
        <f>GasEmissions*(SUM($BA$36:$BA50)+SUM($BC$36:$BC50))+'stock-flow model'!$B16*(SUM($BB$36:$BB50)+SUM($BD$36:$BD50))/1000</f>
        <v>-3924.1594504195241</v>
      </c>
      <c r="BG50" s="343">
        <f>'NC Reach Code Impacts'!AC17+BF50</f>
        <v>768474.7455218531</v>
      </c>
      <c r="BH50" s="344">
        <f t="shared" si="12"/>
        <v>306334.68737429747</v>
      </c>
      <c r="BI50" s="344">
        <f t="shared" si="13"/>
        <v>6313.7711538104923</v>
      </c>
      <c r="BJ50" s="344">
        <f t="shared" si="14"/>
        <v>412676.60459067882</v>
      </c>
      <c r="BK50" s="347">
        <f>'NC Reach Code Impacts'!E17-SUM(P$36:P50)</f>
        <v>23062.364985376182</v>
      </c>
      <c r="BL50" s="350">
        <f t="shared" si="15"/>
        <v>400328.61918657512</v>
      </c>
      <c r="BM50" s="36">
        <f t="shared" si="21"/>
        <v>-139.37647982196813</v>
      </c>
      <c r="BN50" s="36">
        <f t="shared" si="23"/>
        <v>-3924.1594504195241</v>
      </c>
      <c r="BO50" s="36">
        <f t="shared" si="24"/>
        <v>0</v>
      </c>
    </row>
    <row r="51" spans="1:67" hidden="1" x14ac:dyDescent="0.3">
      <c r="A51" s="257">
        <f t="shared" si="1"/>
        <v>1</v>
      </c>
      <c r="B51" s="342">
        <v>2035</v>
      </c>
      <c r="C51" s="343">
        <f>'NC Reach Code Impacts'!D18+SUM(P$36:P50)</f>
        <v>412676.60459067923</v>
      </c>
      <c r="D51" s="343">
        <f t="shared" si="2"/>
        <v>128070.90173123131</v>
      </c>
      <c r="E51" s="343">
        <f t="shared" si="3"/>
        <v>284605.70285944792</v>
      </c>
      <c r="F51" s="344">
        <f>($D51-SUM($I$36:$I50))*((AssessmentTrigger="Rental")+(AssessmentTrigger="Resale and rental"))*MoveRate</f>
        <v>0</v>
      </c>
      <c r="G51" s="344">
        <f>($E51-SUM($J$36:$J50))*((AssessmentTrigger="Home resale")+(AssessmentTrigger="Resale and rental"))*HomeResaleRate</f>
        <v>7082.4267729762587</v>
      </c>
      <c r="H51" s="344">
        <f>($C51-SUM($K$36:$K50))*(AssessmentTrigger="Major renovation")*RenovationRate+$C$20*(AssessmentTrigger="Other")</f>
        <v>0</v>
      </c>
      <c r="I51" s="344">
        <f t="shared" si="4"/>
        <v>0</v>
      </c>
      <c r="J51" s="344">
        <f t="shared" si="5"/>
        <v>7082.4267729762587</v>
      </c>
      <c r="K51" s="344">
        <f t="shared" si="6"/>
        <v>0</v>
      </c>
      <c r="L51" s="344">
        <f t="shared" si="16"/>
        <v>7082.4267729762587</v>
      </c>
      <c r="M51" s="344">
        <f t="shared" si="7"/>
        <v>708.24267729762596</v>
      </c>
      <c r="N51" s="345">
        <f>-MIN(AssessmentConvertFurnace+AssessmentConvertHouse,1)*(MAX(('NC Reach Code Impacts'!T18+SUM(N$36:N50)),0)/C51)*M51</f>
        <v>-23.553246442076638</v>
      </c>
      <c r="O51" s="345">
        <f>-MIN(AssessmentConvertDHW+AssessmentConvertHouse,1)*(MAX(('NC Reach Code Impacts'!U18+SUM(O$36:O50)),0)/C51)*$M51</f>
        <v>-13.828457971035693</v>
      </c>
      <c r="P51" s="345">
        <f t="shared" si="8"/>
        <v>-35.412133864881298</v>
      </c>
      <c r="Q51" s="345">
        <f>('NC Reach Code Impacts'!AD18/('NC Reach Code Impacts'!T18+'NC Reach Code Impacts'!M18))*R51</f>
        <v>8.2724704384704939</v>
      </c>
      <c r="R51" s="345">
        <f t="shared" si="17"/>
        <v>23.553246442076638</v>
      </c>
      <c r="S51" s="345">
        <f t="shared" si="17"/>
        <v>13.828457971035693</v>
      </c>
      <c r="T51" s="346">
        <v>0</v>
      </c>
      <c r="U51" s="345">
        <f t="shared" si="22"/>
        <v>-13.198944623287893</v>
      </c>
      <c r="V51" s="345">
        <f>$N51*('NC Reach Code Impacts'!$T18+SUM(V$36:V50))/('NC Reach Code Impacts'!$M18+'NC Reach Code Impacts'!$T18+SUM(N$36:N50))</f>
        <v>-10.354301818788745</v>
      </c>
      <c r="W51" s="345">
        <f t="shared" si="18"/>
        <v>-10.825574571493146</v>
      </c>
      <c r="X51" s="345">
        <f>$O51*('NC Reach Code Impacts'!$U18+SUM(X$36:X50))/('NC Reach Code Impacts'!$N18+'NC Reach Code Impacts'!$U18+SUM(O$36:O50))</f>
        <v>-3.0028833995425463</v>
      </c>
      <c r="Y51" s="347">
        <f>MAX(M51*'NC Reach Code Impacts'!T18/'NC Reach Code Impacts'!D18+N51,0)</f>
        <v>212.72785309617996</v>
      </c>
      <c r="Z51" s="347">
        <f>MAX($M51*'NC Reach Code Impacts'!U18/'NC Reach Code Impacts'!$D18+O51,0)</f>
        <v>125.2006281235294</v>
      </c>
      <c r="AA51" s="347">
        <f t="shared" si="19"/>
        <v>672.83054343274466</v>
      </c>
      <c r="AB51" s="347">
        <f>MAX($M51*('NC Reach Code Impacts'!W18-SUM(AB$36:AB50))/'NC Reach Code Impacts'!$D18,0)</f>
        <v>57.307859564988554</v>
      </c>
      <c r="AC51" s="347">
        <f>MAX($M51*('NC Reach Code Impacts'!X18-SUM(AC$36:AC50))/'NC Reach Code Impacts'!$D18,0)</f>
        <v>53.753883778012501</v>
      </c>
      <c r="AD51" s="347">
        <f>MAX($M51*('NC Reach Code Impacts'!Y18-SUM(AD$36:AD50))/'NC Reach Code Impacts'!$D18,0)</f>
        <v>11.903773761249324</v>
      </c>
      <c r="AE51" s="347">
        <f t="shared" si="20"/>
        <v>708.24267729762596</v>
      </c>
      <c r="AF51" s="344">
        <f>'NC Reach Code Impacts'!M18</f>
        <v>175409.14663164222</v>
      </c>
      <c r="AG51" s="344">
        <f>'NC Reach Code Impacts'!N18</f>
        <v>291683.89811057277</v>
      </c>
      <c r="AH51" s="344">
        <f>'NC Reach Code Impacts'!O18</f>
        <v>0</v>
      </c>
      <c r="AI51" s="344">
        <f>'NC Reach Code Impacts'!P18+SUM(Q$36:Q51)</f>
        <v>95654.33091795283</v>
      </c>
      <c r="AJ51" s="344">
        <f>'NC Reach Code Impacts'!Q18+SUM(R$36:R51)</f>
        <v>91548.653845023669</v>
      </c>
      <c r="AK51" s="344">
        <f>'NC Reach Code Impacts'!R18+SUM(S$36:S51)</f>
        <v>57588.725900449106</v>
      </c>
      <c r="AL51" s="344">
        <f>'NC Reach Code Impacts'!S18</f>
        <v>24013.361803649081</v>
      </c>
      <c r="AM51" s="348">
        <f>MAX('NC Reach Code Impacts'!T18+SUM(N$36:N51),0)</f>
        <v>137215.75865002366</v>
      </c>
      <c r="AN51" s="348">
        <f>MAX('NC Reach Code Impacts'!U18+SUM(O$36:O51),0)</f>
        <v>80561.393357048102</v>
      </c>
      <c r="AO51" s="348">
        <f>MAX('NC Reach Code Impacts'!V18+SUM(P$36:P51),0)</f>
        <v>412641.19245681394</v>
      </c>
      <c r="AP51" s="348">
        <f>'NC Reach Code Impacts'!W18</f>
        <v>35359.114541153089</v>
      </c>
      <c r="AQ51" s="348">
        <f>'NC Reach Code Impacts'!X18</f>
        <v>33166.301236275365</v>
      </c>
      <c r="AR51" s="348">
        <f>'NC Reach Code Impacts'!Y18</f>
        <v>7505.8429948949633</v>
      </c>
      <c r="AS51" s="348">
        <f>'NC Reach Code Impacts'!Z18</f>
        <v>413326.49855931586</v>
      </c>
      <c r="AT51" s="349">
        <f>MAX(AM51-SUM(Y$36:Y51),0)</f>
        <v>131119.41752273109</v>
      </c>
      <c r="AU51" s="349">
        <f>MAX(AN51-SUM(Z$36:Z51),0)</f>
        <v>75377.14821991905</v>
      </c>
      <c r="AV51" s="349">
        <f>MAX(AO51-SUM(AA$36:AA51),0)</f>
        <v>399620.37650927744</v>
      </c>
      <c r="AW51" s="349">
        <f>MAX(AP51-SUM(AB$36:AB51),0)</f>
        <v>33387.241153360097</v>
      </c>
      <c r="AX51" s="349">
        <f>MAX(AQ51-SUM(AC$36:AC51),0)</f>
        <v>31316.714570205975</v>
      </c>
      <c r="AY51" s="349">
        <f>MAX(AR51-SUM(AD$36:AD51),0)</f>
        <v>6935.0725750134025</v>
      </c>
      <c r="AZ51" s="349">
        <f>MAX(AS51-SUM(AE$36:AE51),0)</f>
        <v>399620.37650927744</v>
      </c>
      <c r="BA51" s="344">
        <f t="shared" si="9"/>
        <v>-15171.398781987646</v>
      </c>
      <c r="BB51" s="344">
        <f t="shared" si="10"/>
        <v>-642273.79284573498</v>
      </c>
      <c r="BC51" s="344">
        <f>U51*'Appliance Stock Profile'!$B$21+V51*'Appliance Stock Profile'!$B$20+W51*'Appliance Stock Profile'!$C$21+X51*'Appliance Stock Profile'!$C$20+P51*'Appliance Stock Profile'!$D$20</f>
        <v>-8449.9646417242238</v>
      </c>
      <c r="BD51" s="344">
        <f t="shared" si="11"/>
        <v>43465.925692783814</v>
      </c>
      <c r="BE51" s="344">
        <f>GasEmissions*(BA51+BC51)+'stock-flow model'!$B17*(BB51+BD51)/1000</f>
        <v>-125.1932261456729</v>
      </c>
      <c r="BF51" s="344">
        <f>GasEmissions*(SUM($BA$36:$BA51)+SUM($BC$36:$BC51))+'stock-flow model'!$B17*(SUM($BB$36:$BB51)+SUM($BD$36:$BD51))/1000</f>
        <v>-4049.3526765651973</v>
      </c>
      <c r="BG51" s="343">
        <f>'NC Reach Code Impacts'!AC18+BF51</f>
        <v>762139.2768124569</v>
      </c>
      <c r="BH51" s="344">
        <f t="shared" si="12"/>
        <v>306326.41490385903</v>
      </c>
      <c r="BI51" s="344">
        <f t="shared" si="13"/>
        <v>6298.4903778068838</v>
      </c>
      <c r="BJ51" s="344">
        <f t="shared" si="14"/>
        <v>412641.19245681394</v>
      </c>
      <c r="BK51" s="347">
        <f>'NC Reach Code Impacts'!E18-SUM(P$36:P51)</f>
        <v>24698.667906151</v>
      </c>
      <c r="BL51" s="350">
        <f t="shared" si="15"/>
        <v>399620.37650927744</v>
      </c>
      <c r="BM51" s="36">
        <f t="shared" si="21"/>
        <v>-125.19322614567318</v>
      </c>
      <c r="BN51" s="36">
        <f t="shared" si="23"/>
        <v>-4049.3526765651973</v>
      </c>
      <c r="BO51" s="36">
        <f t="shared" si="24"/>
        <v>0</v>
      </c>
    </row>
    <row r="52" spans="1:67" hidden="1" x14ac:dyDescent="0.3">
      <c r="A52" s="257">
        <f t="shared" si="1"/>
        <v>1</v>
      </c>
      <c r="B52" s="342">
        <v>2036</v>
      </c>
      <c r="C52" s="343">
        <f>'NC Reach Code Impacts'!D19+SUM(P$36:P51)</f>
        <v>412641.19245681434</v>
      </c>
      <c r="D52" s="343">
        <f t="shared" si="2"/>
        <v>128059.91185716078</v>
      </c>
      <c r="E52" s="343">
        <f t="shared" si="3"/>
        <v>284581.28059965355</v>
      </c>
      <c r="F52" s="344">
        <f>($D52-SUM($I$36:$I51))*((AssessmentTrigger="Rental")+(AssessmentTrigger="Resale and rental"))*MoveRate</f>
        <v>0</v>
      </c>
      <c r="G52" s="344">
        <f>($E52-SUM($J$36:$J51))*((AssessmentTrigger="Home resale")+(AssessmentTrigger="Resale and rental"))*HomeResaleRate</f>
        <v>6756.9094477983126</v>
      </c>
      <c r="H52" s="344">
        <f>($C52-SUM($K$36:$K51))*(AssessmentTrigger="Major renovation")*RenovationRate+$C$20*(AssessmentTrigger="Other")</f>
        <v>0</v>
      </c>
      <c r="I52" s="344">
        <f t="shared" si="4"/>
        <v>0</v>
      </c>
      <c r="J52" s="344">
        <f t="shared" si="5"/>
        <v>6756.9094477983126</v>
      </c>
      <c r="K52" s="344">
        <f t="shared" si="6"/>
        <v>0</v>
      </c>
      <c r="L52" s="344">
        <f t="shared" si="16"/>
        <v>6756.9094477983126</v>
      </c>
      <c r="M52" s="344">
        <f t="shared" si="7"/>
        <v>675.69094477983128</v>
      </c>
      <c r="N52" s="345">
        <f>-MIN(AssessmentConvertFurnace+AssessmentConvertHouse,1)*(MAX(('NC Reach Code Impacts'!T19+SUM(N$36:N51)),0)/C52)*M52</f>
        <v>-21.339802462875948</v>
      </c>
      <c r="O52" s="345">
        <f>-MIN(AssessmentConvertDHW+AssessmentConvertHouse,1)*(MAX(('NC Reach Code Impacts'!U19+SUM(O$36:O51)),0)/C52)*$M52</f>
        <v>-11.983939414942533</v>
      </c>
      <c r="P52" s="345">
        <f t="shared" si="8"/>
        <v>-33.784547238991564</v>
      </c>
      <c r="Q52" s="345">
        <f>('NC Reach Code Impacts'!AD19/('NC Reach Code Impacts'!T19+'NC Reach Code Impacts'!M19))*R52</f>
        <v>7.1348804660272425</v>
      </c>
      <c r="R52" s="345">
        <f t="shared" si="17"/>
        <v>21.339802462875948</v>
      </c>
      <c r="S52" s="345">
        <f t="shared" si="17"/>
        <v>11.983939414942533</v>
      </c>
      <c r="T52" s="346">
        <v>0</v>
      </c>
      <c r="U52" s="345">
        <f t="shared" si="22"/>
        <v>-12.429185447310527</v>
      </c>
      <c r="V52" s="345">
        <f>$N52*('NC Reach Code Impacts'!$T19+SUM(V$36:V51))/('NC Reach Code Impacts'!$M19+'NC Reach Code Impacts'!$T19+SUM(N$36:N51))</f>
        <v>-8.9106170155654212</v>
      </c>
      <c r="W52" s="345">
        <f t="shared" si="18"/>
        <v>-9.6190599455581882</v>
      </c>
      <c r="X52" s="345">
        <f>$O52*('NC Reach Code Impacts'!$U19+SUM(X$36:X51))/('NC Reach Code Impacts'!$N19+'NC Reach Code Impacts'!$U19+SUM(O$36:O51))</f>
        <v>-2.3648794693843445</v>
      </c>
      <c r="Y52" s="347">
        <f>MAX(M52*'NC Reach Code Impacts'!T19/'NC Reach Code Impacts'!D19+N52,0)</f>
        <v>192.8104517837404</v>
      </c>
      <c r="Z52" s="347">
        <f>MAX($M52*'NC Reach Code Impacts'!U19/'NC Reach Code Impacts'!$D19+O52,0)</f>
        <v>108.59709041146172</v>
      </c>
      <c r="AA52" s="347">
        <f t="shared" si="19"/>
        <v>641.90639754083975</v>
      </c>
      <c r="AB52" s="347">
        <f>MAX($M52*('NC Reach Code Impacts'!W19-SUM(AB$36:AB51))/'NC Reach Code Impacts'!$D19,0)</f>
        <v>50.726647555530576</v>
      </c>
      <c r="AC52" s="347">
        <f>MAX($M52*('NC Reach Code Impacts'!X19-SUM(AC$36:AC51))/'NC Reach Code Impacts'!$D19,0)</f>
        <v>47.580808947435635</v>
      </c>
      <c r="AD52" s="347">
        <f>MAX($M52*('NC Reach Code Impacts'!Y19-SUM(AD$36:AD51))/'NC Reach Code Impacts'!$D19,0)</f>
        <v>10.110173774084407</v>
      </c>
      <c r="AE52" s="347">
        <f t="shared" si="20"/>
        <v>675.69094477983128</v>
      </c>
      <c r="AF52" s="344">
        <f>'NC Reach Code Impacts'!M19</f>
        <v>182303.76359545818</v>
      </c>
      <c r="AG52" s="344">
        <f>'NC Reach Code Impacts'!N19</f>
        <v>299059.9529823846</v>
      </c>
      <c r="AH52" s="344">
        <f>'NC Reach Code Impacts'!O19</f>
        <v>0</v>
      </c>
      <c r="AI52" s="344">
        <f>'NC Reach Code Impacts'!P19+SUM(Q$36:Q52)</f>
        <v>99619.630888072323</v>
      </c>
      <c r="AJ52" s="344">
        <f>'NC Reach Code Impacts'!Q19+SUM(R$36:R52)</f>
        <v>95381.97118348151</v>
      </c>
      <c r="AK52" s="344">
        <f>'NC Reach Code Impacts'!R19+SUM(S$36:S52)</f>
        <v>59952.184926263493</v>
      </c>
      <c r="AL52" s="344">
        <f>'NC Reach Code Impacts'!S19</f>
        <v>25614.252590559019</v>
      </c>
      <c r="AM52" s="348">
        <f>MAX('NC Reach Code Impacts'!T19+SUM(N$36:N52),0)</f>
        <v>130299.80188374483</v>
      </c>
      <c r="AN52" s="348">
        <f>MAX('NC Reach Code Impacts'!U19+SUM(O$36:O52),0)</f>
        <v>73173.354545821334</v>
      </c>
      <c r="AO52" s="348">
        <f>MAX('NC Reach Code Impacts'!V19+SUM(P$36:P52),0)</f>
        <v>412607.40790957498</v>
      </c>
      <c r="AP52" s="348">
        <f>'NC Reach Code Impacts'!W19</f>
        <v>33001.840238409553</v>
      </c>
      <c r="AQ52" s="348">
        <f>'NC Reach Code Impacts'!X19</f>
        <v>30955.214487190344</v>
      </c>
      <c r="AR52" s="348">
        <f>'NC Reach Code Impacts'!Y19</f>
        <v>6755.2586954054641</v>
      </c>
      <c r="AS52" s="348">
        <f>'NC Reach Code Impacts'!Z19</f>
        <v>413326.49855931586</v>
      </c>
      <c r="AT52" s="349">
        <f>MAX(AM52-SUM(Y$36:Y52),0)</f>
        <v>124010.65030466852</v>
      </c>
      <c r="AU52" s="349">
        <f>MAX(AN52-SUM(Z$36:Z52),0)</f>
        <v>67880.512318280817</v>
      </c>
      <c r="AV52" s="349">
        <f>MAX(AO52-SUM(AA$36:AA52),0)</f>
        <v>398944.68556449766</v>
      </c>
      <c r="AW52" s="349">
        <f>MAX(AP52-SUM(AB$36:AB52),0)</f>
        <v>30979.240203061036</v>
      </c>
      <c r="AX52" s="349">
        <f>MAX(AQ52-SUM(AC$36:AC52),0)</f>
        <v>29058.047012173516</v>
      </c>
      <c r="AY52" s="349">
        <f>MAX(AR52-SUM(AD$36:AD52),0)</f>
        <v>6174.3781017498186</v>
      </c>
      <c r="AZ52" s="349">
        <f>MAX(AS52-SUM(AE$36:AE52),0)</f>
        <v>398944.68556449766</v>
      </c>
      <c r="BA52" s="344">
        <f t="shared" si="9"/>
        <v>-13686.138587260557</v>
      </c>
      <c r="BB52" s="344">
        <f t="shared" si="10"/>
        <v>-611145.24118109909</v>
      </c>
      <c r="BC52" s="344">
        <f>U52*'Appliance Stock Profile'!$B$21+V52*'Appliance Stock Profile'!$B$20+W52*'Appliance Stock Profile'!$C$21+X52*'Appliance Stock Profile'!$C$20+P52*'Appliance Stock Profile'!$D$20</f>
        <v>-7557.1633006641587</v>
      </c>
      <c r="BD52" s="344">
        <f t="shared" si="11"/>
        <v>38849.318299310413</v>
      </c>
      <c r="BE52" s="344">
        <f>GasEmissions*(BA52+BC52)+'stock-flow model'!$B18*(BB52+BD52)/1000</f>
        <v>-112.589500006001</v>
      </c>
      <c r="BF52" s="344">
        <f>GasEmissions*(SUM($BA$36:$BA52)+SUM($BC$36:$BC52))+'stock-flow model'!$B18*(SUM($BB$36:$BB52)+SUM($BD$36:$BD52))/1000</f>
        <v>-4161.9421765711986</v>
      </c>
      <c r="BG52" s="343">
        <f>'NC Reach Code Impacts'!AC19+BF52</f>
        <v>756310.0921766496</v>
      </c>
      <c r="BH52" s="344">
        <f t="shared" si="12"/>
        <v>306319.28002339299</v>
      </c>
      <c r="BI52" s="344">
        <f t="shared" si="13"/>
        <v>6284.2854558100225</v>
      </c>
      <c r="BJ52" s="344">
        <f t="shared" si="14"/>
        <v>412607.40790957498</v>
      </c>
      <c r="BK52" s="347">
        <f>'NC Reach Code Impacts'!E19-SUM(P$36:P52)</f>
        <v>26333.343240299931</v>
      </c>
      <c r="BL52" s="350">
        <f t="shared" si="15"/>
        <v>398944.68556449766</v>
      </c>
      <c r="BM52" s="36">
        <f t="shared" si="21"/>
        <v>-112.58950000600134</v>
      </c>
      <c r="BN52" s="36">
        <f t="shared" si="23"/>
        <v>-4161.9421765711986</v>
      </c>
      <c r="BO52" s="36">
        <f t="shared" si="24"/>
        <v>0</v>
      </c>
    </row>
    <row r="53" spans="1:67" hidden="1" x14ac:dyDescent="0.3">
      <c r="A53" s="257">
        <f t="shared" si="1"/>
        <v>1</v>
      </c>
      <c r="B53" s="342">
        <v>2037</v>
      </c>
      <c r="C53" s="343">
        <f>'NC Reach Code Impacts'!D20+SUM(P$36:P52)</f>
        <v>412607.40790957538</v>
      </c>
      <c r="D53" s="343">
        <f t="shared" si="2"/>
        <v>128049.4270916535</v>
      </c>
      <c r="E53" s="343">
        <f t="shared" si="3"/>
        <v>284557.98081792187</v>
      </c>
      <c r="F53" s="344">
        <f>($D53-SUM($I$36:$I52))*((AssessmentTrigger="Rental")+(AssessmentTrigger="Resale and rental"))*MoveRate</f>
        <v>0</v>
      </c>
      <c r="G53" s="344">
        <f>($E53-SUM($J$36:$J52))*((AssessmentTrigger="Home resale")+(AssessmentTrigger="Resale and rental"))*HomeResaleRate</f>
        <v>6446.3533121091623</v>
      </c>
      <c r="H53" s="344">
        <f>($C53-SUM($K$36:$K52))*(AssessmentTrigger="Major renovation")*RenovationRate+$C$20*(AssessmentTrigger="Other")</f>
        <v>0</v>
      </c>
      <c r="I53" s="344">
        <f t="shared" si="4"/>
        <v>0</v>
      </c>
      <c r="J53" s="344">
        <f t="shared" si="5"/>
        <v>6446.3533121091623</v>
      </c>
      <c r="K53" s="344">
        <f t="shared" si="6"/>
        <v>0</v>
      </c>
      <c r="L53" s="344">
        <f t="shared" si="16"/>
        <v>6446.3533121091623</v>
      </c>
      <c r="M53" s="344">
        <f t="shared" si="7"/>
        <v>644.63533121091632</v>
      </c>
      <c r="N53" s="345">
        <f>-MIN(AssessmentConvertFurnace+AssessmentConvertHouse,1)*(MAX(('NC Reach Code Impacts'!T20+SUM(N$36:N52)),0)/C53)*M53</f>
        <v>-19.334012528439025</v>
      </c>
      <c r="O53" s="345">
        <f>-MIN(AssessmentConvertDHW+AssessmentConvertHouse,1)*(MAX(('NC Reach Code Impacts'!U20+SUM(O$36:O52)),0)/C53)*$M53</f>
        <v>-10.384574720087558</v>
      </c>
      <c r="P53" s="345">
        <f t="shared" si="8"/>
        <v>-32.231766560545815</v>
      </c>
      <c r="Q53" s="345">
        <f>('NC Reach Code Impacts'!AD20/('NC Reach Code Impacts'!T20+'NC Reach Code Impacts'!M20))*R53</f>
        <v>6.1541388994133204</v>
      </c>
      <c r="R53" s="345">
        <f t="shared" si="17"/>
        <v>19.334012528439025</v>
      </c>
      <c r="S53" s="345">
        <f t="shared" si="17"/>
        <v>10.384574720087558</v>
      </c>
      <c r="T53" s="346">
        <v>0</v>
      </c>
      <c r="U53" s="345">
        <f t="shared" si="22"/>
        <v>-11.666029856269684</v>
      </c>
      <c r="V53" s="345">
        <f>$N53*('NC Reach Code Impacts'!$T20+SUM(V$36:V52))/('NC Reach Code Impacts'!$M20+'NC Reach Code Impacts'!$T20+SUM(N$36:N52))</f>
        <v>-7.6679826721693418</v>
      </c>
      <c r="W53" s="345">
        <f t="shared" si="18"/>
        <v>-8.5223800653907542</v>
      </c>
      <c r="X53" s="345">
        <f>$O53*('NC Reach Code Impacts'!$U20+SUM(X$36:X52))/('NC Reach Code Impacts'!$N20+'NC Reach Code Impacts'!$U20+SUM(O$36:O52))</f>
        <v>-1.862194654696804</v>
      </c>
      <c r="Y53" s="347">
        <f>MAX(M53*'NC Reach Code Impacts'!T20/'NC Reach Code Impacts'!D20+N53,0)</f>
        <v>174.75824234726315</v>
      </c>
      <c r="Z53" s="347">
        <f>MAX($M53*'NC Reach Code Impacts'!U20/'NC Reach Code Impacts'!$D20+O53,0)</f>
        <v>94.196309485009621</v>
      </c>
      <c r="AA53" s="347">
        <f t="shared" si="19"/>
        <v>612.40356465037053</v>
      </c>
      <c r="AB53" s="347">
        <f>MAX($M53*('NC Reach Code Impacts'!W20-SUM(AB$36:AB52))/'NC Reach Code Impacts'!$D20,0)</f>
        <v>44.884700157019481</v>
      </c>
      <c r="AC53" s="347">
        <f>MAX($M53*('NC Reach Code Impacts'!X20-SUM(AC$36:AC52))/'NC Reach Code Impacts'!$D20,0)</f>
        <v>42.101152860460132</v>
      </c>
      <c r="AD53" s="347">
        <f>MAX($M53*('NC Reach Code Impacts'!Y20-SUM(AD$36:AD52))/'NC Reach Code Impacts'!$D20,0)</f>
        <v>8.5761605954267353</v>
      </c>
      <c r="AE53" s="347">
        <f t="shared" si="20"/>
        <v>644.63533121091632</v>
      </c>
      <c r="AF53" s="344">
        <f>'NC Reach Code Impacts'!M20</f>
        <v>188853.64971108336</v>
      </c>
      <c r="AG53" s="344">
        <f>'NC Reach Code Impacts'!N20</f>
        <v>305765.45741130447</v>
      </c>
      <c r="AH53" s="344">
        <f>'NC Reach Code Impacts'!O20</f>
        <v>0</v>
      </c>
      <c r="AI53" s="344">
        <f>'NC Reach Code Impacts'!P20+SUM(Q$36:Q53)</f>
        <v>103426.79849644232</v>
      </c>
      <c r="AJ53" s="344">
        <f>'NC Reach Code Impacts'!Q20+SUM(R$36:R53)</f>
        <v>99065.876948732592</v>
      </c>
      <c r="AK53" s="344">
        <f>'NC Reach Code Impacts'!R20+SUM(S$36:S53)</f>
        <v>62238.986157434068</v>
      </c>
      <c r="AL53" s="344">
        <f>'NC Reach Code Impacts'!S20</f>
        <v>27215.143377468958</v>
      </c>
      <c r="AM53" s="348">
        <f>MAX('NC Reach Code Impacts'!T20+SUM(N$36:N53),0)</f>
        <v>123730.58175559124</v>
      </c>
      <c r="AN53" s="348">
        <f>MAX('NC Reach Code Impacts'!U20+SUM(O$36:O53),0)</f>
        <v>66457.46554218138</v>
      </c>
      <c r="AO53" s="348">
        <f>MAX('NC Reach Code Impacts'!V20+SUM(P$36:P53),0)</f>
        <v>412575.1761430144</v>
      </c>
      <c r="AP53" s="348">
        <f>'NC Reach Code Impacts'!W20</f>
        <v>30801.717555848911</v>
      </c>
      <c r="AQ53" s="348">
        <f>'NC Reach Code Impacts'!X20</f>
        <v>28891.533521377656</v>
      </c>
      <c r="AR53" s="348">
        <f>'NC Reach Code Impacts'!Y20</f>
        <v>6079.7328258649213</v>
      </c>
      <c r="AS53" s="348">
        <f>'NC Reach Code Impacts'!Z20</f>
        <v>413326.49855931586</v>
      </c>
      <c r="AT53" s="349">
        <f>MAX(AM53-SUM(Y$36:Y53),0)</f>
        <v>117266.67193416768</v>
      </c>
      <c r="AU53" s="349">
        <f>MAX(AN53-SUM(Z$36:Z53),0)</f>
        <v>61070.427005155856</v>
      </c>
      <c r="AV53" s="349">
        <f>MAX(AO53-SUM(AA$36:AA53),0)</f>
        <v>398300.05023328669</v>
      </c>
      <c r="AW53" s="349">
        <f>MAX(AP53-SUM(AB$36:AB53),0)</f>
        <v>28734.232820343372</v>
      </c>
      <c r="AX53" s="349">
        <f>MAX(AQ53-SUM(AC$36:AC53),0)</f>
        <v>26952.264893500367</v>
      </c>
      <c r="AY53" s="349">
        <f>MAX(AR53-SUM(AD$36:AD53),0)</f>
        <v>5490.2760716138491</v>
      </c>
      <c r="AZ53" s="349">
        <f>MAX(AS53-SUM(AE$36:AE53),0)</f>
        <v>398300.05023328669</v>
      </c>
      <c r="BA53" s="344">
        <f t="shared" si="9"/>
        <v>-12359.437557935988</v>
      </c>
      <c r="BB53" s="344">
        <f t="shared" si="10"/>
        <v>-581632.77461932809</v>
      </c>
      <c r="BC53" s="344">
        <f>U53*'Appliance Stock Profile'!$B$21+V53*'Appliance Stock Profile'!$B$20+W53*'Appliance Stock Profile'!$C$21+X53*'Appliance Stock Profile'!$C$20+P53*'Appliance Stock Profile'!$D$20</f>
        <v>-6768.118042001538</v>
      </c>
      <c r="BD53" s="344">
        <f t="shared" si="11"/>
        <v>34737.168325686318</v>
      </c>
      <c r="BE53" s="344">
        <f>GasEmissions*(BA53+BC53)+'stock-flow model'!$B19*(BB53+BD53)/1000</f>
        <v>-101.37604467966888</v>
      </c>
      <c r="BF53" s="344">
        <f>GasEmissions*(SUM($BA$36:$BA53)+SUM($BC$36:$BC53))+'stock-flow model'!$B19*(SUM($BB$36:$BB53)+SUM($BD$36:$BD53))/1000</f>
        <v>-4263.3182212508673</v>
      </c>
      <c r="BG53" s="343">
        <f>'NC Reach Code Impacts'!AC20+BF53</f>
        <v>750944.46581958339</v>
      </c>
      <c r="BH53" s="344">
        <f t="shared" si="12"/>
        <v>306313.12588449358</v>
      </c>
      <c r="BI53" s="344">
        <f t="shared" si="13"/>
        <v>6271.1055821809859</v>
      </c>
      <c r="BJ53" s="344">
        <f t="shared" si="14"/>
        <v>412575.1761430144</v>
      </c>
      <c r="BK53" s="347">
        <f>'NC Reach Code Impacts'!E20-SUM(P$36:P53)</f>
        <v>27966.465793770414</v>
      </c>
      <c r="BL53" s="350">
        <f t="shared" si="15"/>
        <v>398300.05023328669</v>
      </c>
      <c r="BM53" s="36">
        <f t="shared" si="21"/>
        <v>-101.37604467966867</v>
      </c>
      <c r="BN53" s="36">
        <f t="shared" si="23"/>
        <v>-4263.3182212508673</v>
      </c>
      <c r="BO53" s="36">
        <f t="shared" si="24"/>
        <v>0</v>
      </c>
    </row>
    <row r="54" spans="1:67" hidden="1" x14ac:dyDescent="0.3">
      <c r="A54" s="257">
        <f t="shared" si="1"/>
        <v>1</v>
      </c>
      <c r="B54" s="342">
        <v>2038</v>
      </c>
      <c r="C54" s="343">
        <f>'NC Reach Code Impacts'!D21+SUM(P$36:P53)</f>
        <v>412575.17614301486</v>
      </c>
      <c r="D54" s="343">
        <f t="shared" si="2"/>
        <v>128039.42421927868</v>
      </c>
      <c r="E54" s="343">
        <f t="shared" si="3"/>
        <v>284535.75192373618</v>
      </c>
      <c r="F54" s="344">
        <f>($D54-SUM($I$36:$I53))*((AssessmentTrigger="Rental")+(AssessmentTrigger="Resale and rental"))*MoveRate</f>
        <v>0</v>
      </c>
      <c r="G54" s="344">
        <f>($E54-SUM($J$36:$J53))*((AssessmentTrigger="Home resale")+(AssessmentTrigger="Resale and rental"))*HomeResaleRate</f>
        <v>6150.0707306476188</v>
      </c>
      <c r="H54" s="344">
        <f>($C54-SUM($K$36:$K53))*(AssessmentTrigger="Major renovation")*RenovationRate+$C$20*(AssessmentTrigger="Other")</f>
        <v>0</v>
      </c>
      <c r="I54" s="344">
        <f t="shared" si="4"/>
        <v>0</v>
      </c>
      <c r="J54" s="344">
        <f t="shared" si="5"/>
        <v>6150.0707306476188</v>
      </c>
      <c r="K54" s="344">
        <f t="shared" si="6"/>
        <v>0</v>
      </c>
      <c r="L54" s="344">
        <f t="shared" si="16"/>
        <v>6150.0707306476188</v>
      </c>
      <c r="M54" s="344">
        <f t="shared" si="7"/>
        <v>615.00707306476193</v>
      </c>
      <c r="N54" s="345">
        <f>-MIN(AssessmentConvertFurnace+AssessmentConvertHouse,1)*(MAX(('NC Reach Code Impacts'!T21+SUM(N$36:N53)),0)/C54)*M54</f>
        <v>-17.516412071922883</v>
      </c>
      <c r="O54" s="345">
        <f>-MIN(AssessmentConvertDHW+AssessmentConvertHouse,1)*(MAX(('NC Reach Code Impacts'!U21+SUM(O$36:O53)),0)/C54)*$M54</f>
        <v>-8.9978224161661267</v>
      </c>
      <c r="P54" s="345">
        <f t="shared" si="8"/>
        <v>-30.750353653238097</v>
      </c>
      <c r="Q54" s="345">
        <f>('NC Reach Code Impacts'!AD21/('NC Reach Code Impacts'!T21+'NC Reach Code Impacts'!M21))*R54</f>
        <v>5.3085118719400937</v>
      </c>
      <c r="R54" s="345">
        <f t="shared" si="17"/>
        <v>17.516412071922883</v>
      </c>
      <c r="S54" s="345">
        <f t="shared" si="17"/>
        <v>8.9978224161661267</v>
      </c>
      <c r="T54" s="346">
        <v>0</v>
      </c>
      <c r="U54" s="345">
        <f t="shared" si="22"/>
        <v>-10.917987140095503</v>
      </c>
      <c r="V54" s="345">
        <f>$N54*('NC Reach Code Impacts'!$T21+SUM(V$36:V53))/('NC Reach Code Impacts'!$M21+'NC Reach Code Impacts'!$T21+SUM(N$36:N53))</f>
        <v>-6.5984249318273793</v>
      </c>
      <c r="W54" s="345">
        <f t="shared" si="18"/>
        <v>-7.5316623337490052</v>
      </c>
      <c r="X54" s="345">
        <f>$O54*('NC Reach Code Impacts'!$U21+SUM(X$36:X53))/('NC Reach Code Impacts'!$N21+'NC Reach Code Impacts'!$U21+SUM(O$36:O53))</f>
        <v>-1.4661600824171215</v>
      </c>
      <c r="Y54" s="347">
        <f>MAX(M54*'NC Reach Code Impacts'!T21/'NC Reach Code Impacts'!D21+N54,0)</f>
        <v>158.39653995918471</v>
      </c>
      <c r="Z54" s="347">
        <f>MAX($M54*'NC Reach Code Impacts'!U21/'NC Reach Code Impacts'!$D21+O54,0)</f>
        <v>81.706008500402959</v>
      </c>
      <c r="AA54" s="347">
        <f t="shared" si="19"/>
        <v>584.25671941152382</v>
      </c>
      <c r="AB54" s="347">
        <f>MAX($M54*('NC Reach Code Impacts'!W21-SUM(AB$36:AB53))/'NC Reach Code Impacts'!$D21,0)</f>
        <v>39.699539073434522</v>
      </c>
      <c r="AC54" s="347">
        <f>MAX($M54*('NC Reach Code Impacts'!X21-SUM(AC$36:AC53))/'NC Reach Code Impacts'!$D21,0)</f>
        <v>37.23755215415175</v>
      </c>
      <c r="AD54" s="347">
        <f>MAX($M54*('NC Reach Code Impacts'!Y21-SUM(AD$36:AD53))/'NC Reach Code Impacts'!$D21,0)</f>
        <v>7.2645977418859564</v>
      </c>
      <c r="AE54" s="347">
        <f t="shared" si="20"/>
        <v>615.00707306476193</v>
      </c>
      <c r="AF54" s="344">
        <f>'NC Reach Code Impacts'!M21</f>
        <v>195076.04152092728</v>
      </c>
      <c r="AG54" s="344">
        <f>'NC Reach Code Impacts'!N21</f>
        <v>311861.37052850431</v>
      </c>
      <c r="AH54" s="344">
        <f>'NC Reach Code Impacts'!O21</f>
        <v>0</v>
      </c>
      <c r="AI54" s="344">
        <f>'NC Reach Code Impacts'!P21+SUM(Q$36:Q54)</f>
        <v>107086.4456322808</v>
      </c>
      <c r="AJ54" s="344">
        <f>'NC Reach Code Impacts'!Q21+SUM(R$36:R54)</f>
        <v>102610.38638247295</v>
      </c>
      <c r="AK54" s="344">
        <f>'NC Reach Code Impacts'!R21+SUM(S$36:S54)</f>
        <v>64456.848049346656</v>
      </c>
      <c r="AL54" s="344">
        <f>'NC Reach Code Impacts'!S21</f>
        <v>28816.034164378896</v>
      </c>
      <c r="AM54" s="348">
        <f>MAX('NC Reach Code Impacts'!T21+SUM(N$36:N54),0)</f>
        <v>117490.67353367541</v>
      </c>
      <c r="AN54" s="348">
        <f>MAX('NC Reach Code Impacts'!U21+SUM(O$36:O54),0)</f>
        <v>60352.554602565368</v>
      </c>
      <c r="AO54" s="348">
        <f>MAX('NC Reach Code Impacts'!V21+SUM(P$36:P54),0)</f>
        <v>412544.42578936118</v>
      </c>
      <c r="AP54" s="348">
        <f>'NC Reach Code Impacts'!W21</f>
        <v>28748.269718792319</v>
      </c>
      <c r="AQ54" s="348">
        <f>'NC Reach Code Impacts'!X21</f>
        <v>26965.431286619147</v>
      </c>
      <c r="AR54" s="348">
        <f>'NC Reach Code Impacts'!Y21</f>
        <v>5471.7595432784292</v>
      </c>
      <c r="AS54" s="348">
        <f>'NC Reach Code Impacts'!Z21</f>
        <v>413326.49855931586</v>
      </c>
      <c r="AT54" s="349">
        <f>MAX(AM54-SUM(Y$36:Y54),0)</f>
        <v>110868.36717229265</v>
      </c>
      <c r="AU54" s="349">
        <f>MAX(AN54-SUM(Z$36:Z54),0)</f>
        <v>54883.810057039438</v>
      </c>
      <c r="AV54" s="349">
        <f>MAX(AO54-SUM(AA$36:AA54),0)</f>
        <v>397685.04316022195</v>
      </c>
      <c r="AW54" s="349">
        <f>MAX(AP54-SUM(AB$36:AB54),0)</f>
        <v>26641.085444213346</v>
      </c>
      <c r="AX54" s="349">
        <f>MAX(AQ54-SUM(AC$36:AC54),0)</f>
        <v>24988.925106587707</v>
      </c>
      <c r="AY54" s="349">
        <f>MAX(AR54-SUM(AD$36:AD54),0)</f>
        <v>4875.0381912854718</v>
      </c>
      <c r="AZ54" s="349">
        <f>MAX(AS54-SUM(AE$36:AE54),0)</f>
        <v>397685.04316022195</v>
      </c>
      <c r="BA54" s="344">
        <f t="shared" si="9"/>
        <v>-11173.362399787411</v>
      </c>
      <c r="BB54" s="344">
        <f t="shared" si="10"/>
        <v>-553640.49387316976</v>
      </c>
      <c r="BC54" s="344">
        <f>U54*'Appliance Stock Profile'!$B$21+V54*'Appliance Stock Profile'!$B$20+W54*'Appliance Stock Profile'!$C$21+X54*'Appliance Stock Profile'!$C$20+P54*'Appliance Stock Profile'!$D$20</f>
        <v>-6069.6338584505693</v>
      </c>
      <c r="BD54" s="344">
        <f t="shared" si="11"/>
        <v>31072.576602350775</v>
      </c>
      <c r="BE54" s="344">
        <f>GasEmissions*(BA54+BC54)+'stock-flow model'!$B20*(BB54+BD54)/1000</f>
        <v>-91.387880168661297</v>
      </c>
      <c r="BF54" s="344">
        <f>GasEmissions*(SUM($BA$36:$BA54)+SUM($BC$36:$BC54))+'stock-flow model'!$B20*(SUM($BB$36:$BB54)+SUM($BD$36:$BD54))/1000</f>
        <v>-4354.7061014195287</v>
      </c>
      <c r="BG54" s="343">
        <f>'NC Reach Code Impacts'!AC21+BF54</f>
        <v>746003.41747594264</v>
      </c>
      <c r="BH54" s="344">
        <f t="shared" si="12"/>
        <v>306307.81737262162</v>
      </c>
      <c r="BI54" s="344">
        <f t="shared" si="13"/>
        <v>6258.8976819810196</v>
      </c>
      <c r="BJ54" s="344">
        <f t="shared" si="14"/>
        <v>412544.42578936118</v>
      </c>
      <c r="BK54" s="347">
        <f>'NC Reach Code Impacts'!E21-SUM(P$36:P54)</f>
        <v>29598.106934333591</v>
      </c>
      <c r="BL54" s="350">
        <f t="shared" si="15"/>
        <v>397685.04316022195</v>
      </c>
      <c r="BM54" s="36">
        <f t="shared" si="21"/>
        <v>-91.387880168661468</v>
      </c>
      <c r="BN54" s="36">
        <f t="shared" si="23"/>
        <v>-4354.7061014195287</v>
      </c>
      <c r="BO54" s="36">
        <f t="shared" si="24"/>
        <v>0</v>
      </c>
    </row>
    <row r="55" spans="1:67" hidden="1" x14ac:dyDescent="0.3">
      <c r="A55" s="257">
        <f t="shared" si="1"/>
        <v>1</v>
      </c>
      <c r="B55" s="342">
        <v>2039</v>
      </c>
      <c r="C55" s="343">
        <f>'NC Reach Code Impacts'!D22+SUM(P$36:P54)</f>
        <v>412544.42578936165</v>
      </c>
      <c r="D55" s="343">
        <f t="shared" si="2"/>
        <v>128029.8810916162</v>
      </c>
      <c r="E55" s="343">
        <f t="shared" si="3"/>
        <v>284514.54469774541</v>
      </c>
      <c r="F55" s="344">
        <f>($D55-SUM($I$36:$I54))*((AssessmentTrigger="Rental")+(AssessmentTrigger="Resale and rental"))*MoveRate</f>
        <v>0</v>
      </c>
      <c r="G55" s="344">
        <f>($E55-SUM($J$36:$J54))*((AssessmentTrigger="Home resale")+(AssessmentTrigger="Resale and rental"))*HomeResaleRate</f>
        <v>5867.4056727420066</v>
      </c>
      <c r="H55" s="344">
        <f>($C55-SUM($K$36:$K54))*(AssessmentTrigger="Major renovation")*RenovationRate+$C$20*(AssessmentTrigger="Other")</f>
        <v>0</v>
      </c>
      <c r="I55" s="344">
        <f t="shared" si="4"/>
        <v>0</v>
      </c>
      <c r="J55" s="344">
        <f t="shared" si="5"/>
        <v>5867.4056727420066</v>
      </c>
      <c r="K55" s="344">
        <f t="shared" si="6"/>
        <v>0</v>
      </c>
      <c r="L55" s="344">
        <f t="shared" si="16"/>
        <v>5867.4056727420066</v>
      </c>
      <c r="M55" s="344">
        <f t="shared" si="7"/>
        <v>586.74056727420066</v>
      </c>
      <c r="N55" s="345">
        <f>-MIN(AssessmentConvertFurnace+AssessmentConvertHouse,1)*(MAX(('NC Reach Code Impacts'!T22+SUM(N$36:N54)),0)/C55)*M55</f>
        <v>-15.869360275081972</v>
      </c>
      <c r="O55" s="345">
        <f>-MIN(AssessmentConvertDHW+AssessmentConvertHouse,1)*(MAX(('NC Reach Code Impacts'!U22+SUM(O$36:O54)),0)/C55)*$M55</f>
        <v>-7.7954583587020814</v>
      </c>
      <c r="P55" s="345">
        <f t="shared" si="8"/>
        <v>-29.337028363710033</v>
      </c>
      <c r="Q55" s="345">
        <f>('NC Reach Code Impacts'!AD22/('NC Reach Code Impacts'!T22+'NC Reach Code Impacts'!M22))*R55</f>
        <v>4.5793011258488807</v>
      </c>
      <c r="R55" s="345">
        <f t="shared" si="17"/>
        <v>15.869360275081972</v>
      </c>
      <c r="S55" s="345">
        <f t="shared" si="17"/>
        <v>7.7954583587020814</v>
      </c>
      <c r="T55" s="346">
        <v>0</v>
      </c>
      <c r="U55" s="345">
        <f t="shared" si="22"/>
        <v>-10.191500925148389</v>
      </c>
      <c r="V55" s="345">
        <f>$N55*('NC Reach Code Impacts'!$T22+SUM(V$36:V54))/('NC Reach Code Impacts'!$M22+'NC Reach Code Impacts'!$T22+SUM(N$36:N54))</f>
        <v>-5.6778593499335823</v>
      </c>
      <c r="W55" s="345">
        <f t="shared" si="18"/>
        <v>-6.6412821673182716</v>
      </c>
      <c r="X55" s="345">
        <f>$O55*('NC Reach Code Impacts'!$U22+SUM(X$36:X54))/('NC Reach Code Impacts'!$N22+'NC Reach Code Impacts'!$U22+SUM(O$36:O54))</f>
        <v>-1.15417619138381</v>
      </c>
      <c r="Y55" s="347">
        <f>MAX(M55*'NC Reach Code Impacts'!T22/'NC Reach Code Impacts'!D22+N55,0)</f>
        <v>143.56702069806067</v>
      </c>
      <c r="Z55" s="347">
        <f>MAX($M55*'NC Reach Code Impacts'!U22/'NC Reach Code Impacts'!$D22+O55,0)</f>
        <v>70.872694100278238</v>
      </c>
      <c r="AA55" s="347">
        <f t="shared" si="19"/>
        <v>557.40353891049062</v>
      </c>
      <c r="AB55" s="347">
        <f>MAX($M55*('NC Reach Code Impacts'!W22-SUM(AB$36:AB54))/'NC Reach Code Impacts'!$D22,0)</f>
        <v>35.097888065180314</v>
      </c>
      <c r="AC55" s="347">
        <f>MAX($M55*('NC Reach Code Impacts'!X22-SUM(AC$36:AC54))/'NC Reach Code Impacts'!$D22,0)</f>
        <v>32.921274851835783</v>
      </c>
      <c r="AD55" s="347">
        <f>MAX($M55*('NC Reach Code Impacts'!Y22-SUM(AD$36:AD54))/'NC Reach Code Impacts'!$D22,0)</f>
        <v>6.143647583322533</v>
      </c>
      <c r="AE55" s="347">
        <f t="shared" si="20"/>
        <v>586.74056727420066</v>
      </c>
      <c r="AF55" s="344">
        <f>'NC Reach Code Impacts'!M22</f>
        <v>200987.31374027897</v>
      </c>
      <c r="AG55" s="344">
        <f>'NC Reach Code Impacts'!N22</f>
        <v>317403.10972595867</v>
      </c>
      <c r="AH55" s="344">
        <f>'NC Reach Code Impacts'!O22</f>
        <v>0</v>
      </c>
      <c r="AI55" s="344">
        <f>'NC Reach Code Impacts'!P22+SUM(Q$36:Q55)</f>
        <v>110608.46703490273</v>
      </c>
      <c r="AJ55" s="344">
        <f>'NC Reach Code Impacts'!Q22+SUM(R$36:R55)</f>
        <v>106024.84194876591</v>
      </c>
      <c r="AK55" s="344">
        <f>'NC Reach Code Impacts'!R22+SUM(S$36:S55)</f>
        <v>66612.710248943142</v>
      </c>
      <c r="AL55" s="344">
        <f>'NC Reach Code Impacts'!S22</f>
        <v>30416.924951288835</v>
      </c>
      <c r="AM55" s="348">
        <f>MAX('NC Reach Code Impacts'!T22+SUM(N$36:N55),0)</f>
        <v>111563.53195404862</v>
      </c>
      <c r="AN55" s="348">
        <f>MAX('NC Reach Code Impacts'!U22+SUM(O$36:O55),0)</f>
        <v>54803.019946752247</v>
      </c>
      <c r="AO55" s="348">
        <f>MAX('NC Reach Code Impacts'!V22+SUM(P$36:P55),0)</f>
        <v>412515.08876099746</v>
      </c>
      <c r="AP55" s="348">
        <f>'NC Reach Code Impacts'!W22</f>
        <v>26831.718404206171</v>
      </c>
      <c r="AQ55" s="348">
        <f>'NC Reach Code Impacts'!X22</f>
        <v>25167.735867511205</v>
      </c>
      <c r="AR55" s="348">
        <f>'NC Reach Code Impacts'!Y22</f>
        <v>4924.5835889505834</v>
      </c>
      <c r="AS55" s="348">
        <f>'NC Reach Code Impacts'!Z22</f>
        <v>413326.49855931586</v>
      </c>
      <c r="AT55" s="349">
        <f>MAX(AM55-SUM(Y$36:Y55),0)</f>
        <v>104797.65857196781</v>
      </c>
      <c r="AU55" s="349">
        <f>MAX(AN55-SUM(Z$36:Z55),0)</f>
        <v>49263.402707126035</v>
      </c>
      <c r="AV55" s="349">
        <f>MAX(AO55-SUM(AA$36:AA55),0)</f>
        <v>397098.30259294779</v>
      </c>
      <c r="AW55" s="349">
        <f>MAX(AP55-SUM(AB$36:AB55),0)</f>
        <v>24689.43624156202</v>
      </c>
      <c r="AX55" s="349">
        <f>MAX(AQ55-SUM(AC$36:AC55),0)</f>
        <v>23158.308412627928</v>
      </c>
      <c r="AY55" s="349">
        <f>MAX(AR55-SUM(AD$36:AD55),0)</f>
        <v>4321.7185893743035</v>
      </c>
      <c r="AZ55" s="349">
        <f>MAX(AS55-SUM(AE$36:AE55),0)</f>
        <v>397098.30259294773</v>
      </c>
      <c r="BA55" s="344">
        <f t="shared" si="9"/>
        <v>-10112.091574691749</v>
      </c>
      <c r="BB55" s="344">
        <f t="shared" si="10"/>
        <v>-527079.46586798597</v>
      </c>
      <c r="BC55" s="344">
        <f>U55*'Appliance Stock Profile'!$B$21+V55*'Appliance Stock Profile'!$B$20+W55*'Appliance Stock Profile'!$C$21+X55*'Appliance Stock Profile'!$C$20+P55*'Appliance Stock Profile'!$D$20</f>
        <v>-5450.3544100850231</v>
      </c>
      <c r="BD55" s="344">
        <f t="shared" si="11"/>
        <v>27805.276714724994</v>
      </c>
      <c r="BE55" s="344">
        <f>GasEmissions*(BA55+BC55)+'stock-flow model'!$B21*(BB55+BD55)/1000</f>
        <v>-82.48096371931689</v>
      </c>
      <c r="BF55" s="344">
        <f>GasEmissions*(SUM($BA$36:$BA55)+SUM($BC$36:$BC55))+'stock-flow model'!$B21*(SUM($BB$36:$BB55)+SUM($BD$36:$BD55))/1000</f>
        <v>-4437.1870651388454</v>
      </c>
      <c r="BG55" s="343">
        <f>'NC Reach Code Impacts'!AC22+BF55</f>
        <v>741451.37482946552</v>
      </c>
      <c r="BH55" s="344">
        <f t="shared" si="12"/>
        <v>306303.23807149578</v>
      </c>
      <c r="BI55" s="344">
        <f t="shared" si="13"/>
        <v>6247.6076228317834</v>
      </c>
      <c r="BJ55" s="344">
        <f t="shared" si="14"/>
        <v>412515.08876099746</v>
      </c>
      <c r="BK55" s="347">
        <f>'NC Reach Code Impacts'!E22-SUM(P$36:P55)</f>
        <v>31228.334749607238</v>
      </c>
      <c r="BL55" s="350">
        <f t="shared" si="15"/>
        <v>397098.30259294779</v>
      </c>
      <c r="BM55" s="36">
        <f t="shared" si="21"/>
        <v>-82.480963719316605</v>
      </c>
      <c r="BN55" s="36">
        <f t="shared" si="23"/>
        <v>-4437.1870651388454</v>
      </c>
      <c r="BO55" s="36">
        <f t="shared" si="24"/>
        <v>0</v>
      </c>
    </row>
    <row r="56" spans="1:67" hidden="1" x14ac:dyDescent="0.3">
      <c r="A56" s="257">
        <f t="shared" si="1"/>
        <v>1</v>
      </c>
      <c r="B56" s="342">
        <v>2040</v>
      </c>
      <c r="C56" s="343">
        <f>'NC Reach Code Impacts'!D23+SUM(P$36:P55)</f>
        <v>412515.08876099798</v>
      </c>
      <c r="D56" s="343">
        <f t="shared" si="2"/>
        <v>128020.77657821552</v>
      </c>
      <c r="E56" s="343">
        <f t="shared" si="3"/>
        <v>284494.31218278245</v>
      </c>
      <c r="F56" s="344">
        <f>($D56-SUM($I$36:$I55))*((AssessmentTrigger="Rental")+(AssessmentTrigger="Resale and rental"))*MoveRate</f>
        <v>0</v>
      </c>
      <c r="G56" s="344">
        <f>($E56-SUM($J$36:$J55))*((AssessmentTrigger="Home resale")+(AssessmentTrigger="Resale and rental"))*HomeResaleRate</f>
        <v>5597.7322597231168</v>
      </c>
      <c r="H56" s="344">
        <f>($C56-SUM($K$36:$K55))*(AssessmentTrigger="Major renovation")*RenovationRate+$C$20*(AssessmentTrigger="Other")</f>
        <v>0</v>
      </c>
      <c r="I56" s="344">
        <f t="shared" si="4"/>
        <v>0</v>
      </c>
      <c r="J56" s="344">
        <f t="shared" si="5"/>
        <v>5597.7322597231168</v>
      </c>
      <c r="K56" s="344">
        <f t="shared" si="6"/>
        <v>0</v>
      </c>
      <c r="L56" s="344">
        <f t="shared" si="16"/>
        <v>5597.7322597231168</v>
      </c>
      <c r="M56" s="344">
        <f t="shared" si="7"/>
        <v>559.77322597231171</v>
      </c>
      <c r="N56" s="345">
        <f>-MIN(AssessmentConvertFurnace+AssessmentConvertHouse,1)*(MAX(('NC Reach Code Impacts'!T23+SUM(N$36:N55)),0)/C56)*M56</f>
        <v>-14.376869228487356</v>
      </c>
      <c r="O56" s="345">
        <f>-MIN(AssessmentConvertDHW+AssessmentConvertHouse,1)*(MAX(('NC Reach Code Impacts'!U23+SUM(O$36:O55)),0)/C56)*$M56</f>
        <v>-6.7530030916755202</v>
      </c>
      <c r="P56" s="345">
        <f t="shared" si="8"/>
        <v>-27.988661298615586</v>
      </c>
      <c r="Q56" s="345">
        <f>('NC Reach Code Impacts'!AD23/('NC Reach Code Impacts'!T23+'NC Reach Code Impacts'!M23))*R56</f>
        <v>3.9504150637136011</v>
      </c>
      <c r="R56" s="345">
        <f t="shared" si="17"/>
        <v>14.376869228487356</v>
      </c>
      <c r="S56" s="345">
        <f t="shared" si="17"/>
        <v>6.7530030916755202</v>
      </c>
      <c r="T56" s="346">
        <v>0</v>
      </c>
      <c r="U56" s="345">
        <f t="shared" si="22"/>
        <v>-9.4913187335062332</v>
      </c>
      <c r="V56" s="345">
        <f>$N56*('NC Reach Code Impacts'!$T23+SUM(V$36:V55))/('NC Reach Code Impacts'!$M23+'NC Reach Code Impacts'!$T23+SUM(N$36:N55))</f>
        <v>-4.8855504949811239</v>
      </c>
      <c r="W56" s="345">
        <f t="shared" si="18"/>
        <v>-5.8445745782447949</v>
      </c>
      <c r="X56" s="345">
        <f>$O56*('NC Reach Code Impacts'!$U23+SUM(X$36:X55))/('NC Reach Code Impacts'!$N23+'NC Reach Code Impacts'!$U23+SUM(O$36:O55))</f>
        <v>-0.90842851343072517</v>
      </c>
      <c r="Y56" s="347">
        <f>MAX(M56*'NC Reach Code Impacts'!T23/'NC Reach Code Impacts'!D23+N56,0)</f>
        <v>130.12618915528617</v>
      </c>
      <c r="Z56" s="347">
        <f>MAX($M56*'NC Reach Code Impacts'!U23/'NC Reach Code Impacts'!$D23+O56,0)</f>
        <v>61.476509915353077</v>
      </c>
      <c r="AA56" s="347">
        <f t="shared" si="19"/>
        <v>531.78456467369608</v>
      </c>
      <c r="AB56" s="347">
        <f>MAX($M56*('NC Reach Code Impacts'!W23-SUM(AB$36:AB55))/'NC Reach Code Impacts'!$D23,0)</f>
        <v>31.014642368907612</v>
      </c>
      <c r="AC56" s="347">
        <f>MAX($M56*('NC Reach Code Impacts'!X23-SUM(AC$36:AC55))/'NC Reach Code Impacts'!$D23,0)</f>
        <v>29.091253694866804</v>
      </c>
      <c r="AD56" s="347">
        <f>MAX($M56*('NC Reach Code Impacts'!Y23-SUM(AD$36:AD55))/'NC Reach Code Impacts'!$D23,0)</f>
        <v>5.1860148327635729</v>
      </c>
      <c r="AE56" s="347">
        <f t="shared" si="20"/>
        <v>559.77322597231171</v>
      </c>
      <c r="AF56" s="344">
        <f>'NC Reach Code Impacts'!M23</f>
        <v>206603.0223486631</v>
      </c>
      <c r="AG56" s="344">
        <f>'NC Reach Code Impacts'!N23</f>
        <v>322441.05445091729</v>
      </c>
      <c r="AH56" s="344">
        <f>'NC Reach Code Impacts'!O23</f>
        <v>0</v>
      </c>
      <c r="AI56" s="344">
        <f>'NC Reach Code Impacts'!P23+SUM(Q$36:Q56)</f>
        <v>114002.08946382345</v>
      </c>
      <c r="AJ56" s="344">
        <f>'NC Reach Code Impacts'!Q23+SUM(R$36:R56)</f>
        <v>109317.95866273843</v>
      </c>
      <c r="AK56" s="344">
        <f>'NC Reach Code Impacts'!R23+SUM(S$36:S56)</f>
        <v>68712.812397839822</v>
      </c>
      <c r="AL56" s="344">
        <f>'NC Reach Code Impacts'!S23</f>
        <v>32017.815738198773</v>
      </c>
      <c r="AM56" s="348">
        <f>MAX('NC Reach Code Impacts'!T23+SUM(N$36:N56),0)</f>
        <v>105933.446476436</v>
      </c>
      <c r="AN56" s="348">
        <f>MAX('NC Reach Code Impacts'!U23+SUM(O$36:O56),0)</f>
        <v>49758.322218702007</v>
      </c>
      <c r="AO56" s="348">
        <f>MAX('NC Reach Code Impacts'!V23+SUM(P$36:P56),0)</f>
        <v>412487.10009969882</v>
      </c>
      <c r="AP56" s="348">
        <f>'NC Reach Code Impacts'!W23</f>
        <v>25042.937177259097</v>
      </c>
      <c r="AQ56" s="348">
        <f>'NC Reach Code Impacts'!X23</f>
        <v>23489.886809677118</v>
      </c>
      <c r="AR56" s="348">
        <f>'NC Reach Code Impacts'!Y23</f>
        <v>4432.1252300555279</v>
      </c>
      <c r="AS56" s="348">
        <f>'NC Reach Code Impacts'!Z23</f>
        <v>413326.49855931586</v>
      </c>
      <c r="AT56" s="349">
        <f>MAX(AM56-SUM(Y$36:Y56),0)</f>
        <v>99037.446905199904</v>
      </c>
      <c r="AU56" s="349">
        <f>MAX(AN56-SUM(Z$36:Z56),0)</f>
        <v>44157.228469160444</v>
      </c>
      <c r="AV56" s="349">
        <f>MAX(AO56-SUM(AA$36:AA56),0)</f>
        <v>396538.52936697542</v>
      </c>
      <c r="AW56" s="349">
        <f>MAX(AP56-SUM(AB$36:AB56),0)</f>
        <v>22869.640372246038</v>
      </c>
      <c r="AX56" s="349">
        <f>MAX(AQ56-SUM(AC$36:AC56),0)</f>
        <v>21451.368101098979</v>
      </c>
      <c r="AY56" s="349">
        <f>MAX(AR56-SUM(AD$36:AD56),0)</f>
        <v>3824.0742156464839</v>
      </c>
      <c r="AZ56" s="349">
        <f>MAX(AS56-SUM(AE$36:AE56),0)</f>
        <v>396538.52936697542</v>
      </c>
      <c r="BA56" s="344">
        <f t="shared" si="9"/>
        <v>-9161.659110013723</v>
      </c>
      <c r="BB56" s="344">
        <f t="shared" si="10"/>
        <v>-501867.09571069392</v>
      </c>
      <c r="BC56" s="344">
        <f>U56*'Appliance Stock Profile'!$B$21+V56*'Appliance Stock Profile'!$B$20+W56*'Appliance Stock Profile'!$C$21+X56*'Appliance Stock Profile'!$C$20+P56*'Appliance Stock Profile'!$D$20</f>
        <v>-4900.4813782537994</v>
      </c>
      <c r="BD56" s="344">
        <f t="shared" si="11"/>
        <v>24890.836284544057</v>
      </c>
      <c r="BE56" s="344">
        <f>GasEmissions*(BA56+BC56)+'stock-flow model'!$B22*(BB56+BD56)/1000</f>
        <v>-74.529344587817874</v>
      </c>
      <c r="BF56" s="344">
        <f>GasEmissions*(SUM($BA$36:$BA56)+SUM($BC$36:$BC56))+'stock-flow model'!$B22*(SUM($BB$36:$BB56)+SUM($BD$36:$BD56))/1000</f>
        <v>-4511.7164097266632</v>
      </c>
      <c r="BG56" s="343">
        <f>'NC Reach Code Impacts'!AC23+BF56</f>
        <v>737255.8671203861</v>
      </c>
      <c r="BH56" s="344">
        <f t="shared" si="12"/>
        <v>306299.28765643208</v>
      </c>
      <c r="BI56" s="344">
        <f t="shared" si="13"/>
        <v>6237.1811686669971</v>
      </c>
      <c r="BJ56" s="344">
        <f t="shared" si="14"/>
        <v>412487.10009969882</v>
      </c>
      <c r="BK56" s="347">
        <f>'NC Reach Code Impacts'!E23-SUM(P$36:P56)</f>
        <v>32857.214197815796</v>
      </c>
      <c r="BL56" s="350">
        <f t="shared" si="15"/>
        <v>396538.52936697542</v>
      </c>
      <c r="BM56" s="36">
        <f t="shared" si="21"/>
        <v>-74.529344587817832</v>
      </c>
      <c r="BN56" s="36">
        <f t="shared" si="23"/>
        <v>-4511.7164097266632</v>
      </c>
      <c r="BO56" s="36">
        <f t="shared" si="24"/>
        <v>0</v>
      </c>
    </row>
    <row r="57" spans="1:67" hidden="1" x14ac:dyDescent="0.3">
      <c r="A57" s="257">
        <f t="shared" si="1"/>
        <v>1</v>
      </c>
      <c r="B57" s="342">
        <v>2041</v>
      </c>
      <c r="C57" s="343">
        <f>'NC Reach Code Impacts'!D24+SUM(P$36:P56)</f>
        <v>412487.10009969934</v>
      </c>
      <c r="D57" s="343">
        <f t="shared" si="2"/>
        <v>128012.09051980829</v>
      </c>
      <c r="E57" s="343">
        <f t="shared" si="3"/>
        <v>284475.00957989105</v>
      </c>
      <c r="F57" s="344">
        <f>($D57-SUM($I$36:$I56))*((AssessmentTrigger="Rental")+(AssessmentTrigger="Resale and rental"))*MoveRate</f>
        <v>0</v>
      </c>
      <c r="G57" s="344">
        <f>($E57-SUM($J$36:$J56))*((AssessmentTrigger="Home resale")+(AssessmentTrigger="Resale and rental"))*HomeResaleRate</f>
        <v>5340.4533790998803</v>
      </c>
      <c r="H57" s="344">
        <f>($C57-SUM($K$36:$K56))*(AssessmentTrigger="Major renovation")*RenovationRate+$C$20*(AssessmentTrigger="Other")</f>
        <v>0</v>
      </c>
      <c r="I57" s="344">
        <f t="shared" si="4"/>
        <v>0</v>
      </c>
      <c r="J57" s="344">
        <f t="shared" si="5"/>
        <v>5340.4533790998803</v>
      </c>
      <c r="K57" s="344">
        <f t="shared" si="6"/>
        <v>0</v>
      </c>
      <c r="L57" s="344">
        <f t="shared" si="16"/>
        <v>5340.4533790998803</v>
      </c>
      <c r="M57" s="344">
        <f t="shared" si="7"/>
        <v>534.04533790998801</v>
      </c>
      <c r="N57" s="345">
        <f>-MIN(AssessmentConvertFurnace+AssessmentConvertHouse,1)*(MAX(('NC Reach Code Impacts'!T24+SUM(N$36:N56)),0)/C57)*M57</f>
        <v>-13.024449093121335</v>
      </c>
      <c r="O57" s="345">
        <f>-MIN(AssessmentConvertDHW+AssessmentConvertHouse,1)*(MAX(('NC Reach Code Impacts'!U24+SUM(O$36:O56)),0)/C57)*$M57</f>
        <v>-5.8492251480009312</v>
      </c>
      <c r="P57" s="345">
        <f t="shared" si="8"/>
        <v>-26.702266895499402</v>
      </c>
      <c r="Q57" s="345">
        <f>('NC Reach Code Impacts'!AD24/('NC Reach Code Impacts'!T24+'NC Reach Code Impacts'!M24))*R57</f>
        <v>3.4080013886426963</v>
      </c>
      <c r="R57" s="345">
        <f t="shared" si="17"/>
        <v>13.024449093121335</v>
      </c>
      <c r="S57" s="345">
        <f t="shared" si="17"/>
        <v>5.8492251480009312</v>
      </c>
      <c r="T57" s="346">
        <v>0</v>
      </c>
      <c r="U57" s="345">
        <f t="shared" si="22"/>
        <v>-8.8208025191642747</v>
      </c>
      <c r="V57" s="345">
        <f>$N57*('NC Reach Code Impacts'!$T24+SUM(V$36:V56))/('NC Reach Code Impacts'!$M24+'NC Reach Code Impacts'!$T24+SUM(N$36:N56))</f>
        <v>-4.2036465739570597</v>
      </c>
      <c r="W57" s="345">
        <f t="shared" si="18"/>
        <v>-5.1343500769608452</v>
      </c>
      <c r="X57" s="345">
        <f>$O57*('NC Reach Code Impacts'!$U24+SUM(X$36:X56))/('NC Reach Code Impacts'!$N24+'NC Reach Code Impacts'!$U24+SUM(O$36:O56))</f>
        <v>-0.7148750710400863</v>
      </c>
      <c r="Y57" s="347">
        <f>MAX(M57*'NC Reach Code Impacts'!T24/'NC Reach Code Impacts'!D24+N57,0)</f>
        <v>117.9439895707098</v>
      </c>
      <c r="Z57" s="347">
        <f>MAX($M57*'NC Reach Code Impacts'!U24/'NC Reach Code Impacts'!$D24+O57,0)</f>
        <v>53.326773012165155</v>
      </c>
      <c r="AA57" s="347">
        <f t="shared" si="19"/>
        <v>507.3430710144886</v>
      </c>
      <c r="AB57" s="347">
        <f>MAX($M57*('NC Reach Code Impacts'!W24-SUM(AB$36:AB56))/'NC Reach Code Impacts'!$D24,0)</f>
        <v>27.391954310857518</v>
      </c>
      <c r="AC57" s="347">
        <f>MAX($M57*('NC Reach Code Impacts'!X24-SUM(AC$36:AC56))/'NC Reach Code Impacts'!$D24,0)</f>
        <v>25.69322846212215</v>
      </c>
      <c r="AD57" s="347">
        <f>MAX($M57*('NC Reach Code Impacts'!Y24-SUM(AD$36:AD56))/'NC Reach Code Impacts'!$D24,0)</f>
        <v>4.3682982614632628</v>
      </c>
      <c r="AE57" s="347">
        <f t="shared" si="20"/>
        <v>534.04533790998801</v>
      </c>
      <c r="AF57" s="344">
        <f>'NC Reach Code Impacts'!M24</f>
        <v>211937.94552662803</v>
      </c>
      <c r="AG57" s="344">
        <f>'NC Reach Code Impacts'!N24</f>
        <v>327021.0042008796</v>
      </c>
      <c r="AH57" s="344">
        <f>'NC Reach Code Impacts'!O24</f>
        <v>0</v>
      </c>
      <c r="AI57" s="344">
        <f>'NC Reach Code Impacts'!P24+SUM(Q$36:Q57)</f>
        <v>117275.91739727264</v>
      </c>
      <c r="AJ57" s="344">
        <f>'NC Reach Code Impacts'!Q24+SUM(R$36:R57)</f>
        <v>112497.86635271997</v>
      </c>
      <c r="AK57" s="344">
        <f>'NC Reach Code Impacts'!R24+SUM(S$36:S57)</f>
        <v>70762.764932903301</v>
      </c>
      <c r="AL57" s="344">
        <f>'NC Reach Code Impacts'!S24</f>
        <v>33618.706525108712</v>
      </c>
      <c r="AM57" s="348">
        <f>MAX('NC Reach Code Impacts'!T24+SUM(N$36:N57),0)</f>
        <v>100585.49884937795</v>
      </c>
      <c r="AN57" s="348">
        <f>MAX('NC Reach Code Impacts'!U24+SUM(O$36:O57),0)</f>
        <v>45172.523243591699</v>
      </c>
      <c r="AO57" s="348">
        <f>MAX('NC Reach Code Impacts'!V24+SUM(P$36:P57),0)</f>
        <v>412460.39783280337</v>
      </c>
      <c r="AP57" s="348">
        <f>'NC Reach Code Impacts'!W24</f>
        <v>23373.408032108491</v>
      </c>
      <c r="AQ57" s="348">
        <f>'NC Reach Code Impacts'!X24</f>
        <v>21923.894355698649</v>
      </c>
      <c r="AR57" s="348">
        <f>'NC Reach Code Impacts'!Y24</f>
        <v>3988.9127070499744</v>
      </c>
      <c r="AS57" s="348">
        <f>'NC Reach Code Impacts'!Z24</f>
        <v>413326.49855931586</v>
      </c>
      <c r="AT57" s="349">
        <f>MAX(AM57-SUM(Y$36:Y57),0)</f>
        <v>93571.555288571151</v>
      </c>
      <c r="AU57" s="349">
        <f>MAX(AN57-SUM(Z$36:Z57),0)</f>
        <v>39518.102721037969</v>
      </c>
      <c r="AV57" s="349">
        <f>MAX(AO57-SUM(AA$36:AA57),0)</f>
        <v>396004.48402906547</v>
      </c>
      <c r="AW57" s="349">
        <f>MAX(AP57-SUM(AB$36:AB57),0)</f>
        <v>21172.719272784572</v>
      </c>
      <c r="AX57" s="349">
        <f>MAX(AQ57-SUM(AC$36:AC57),0)</f>
        <v>19859.682418658384</v>
      </c>
      <c r="AY57" s="349">
        <f>MAX(AR57-SUM(AD$36:AD57),0)</f>
        <v>3376.4933943794676</v>
      </c>
      <c r="AZ57" s="349">
        <f>MAX(AS57-SUM(AE$36:AE57),0)</f>
        <v>396004.48402906547</v>
      </c>
      <c r="BA57" s="344">
        <f t="shared" si="9"/>
        <v>-8309.7302019968974</v>
      </c>
      <c r="BB57" s="344">
        <f t="shared" si="10"/>
        <v>-477926.56527203129</v>
      </c>
      <c r="BC57" s="344">
        <f>U57*'Appliance Stock Profile'!$B$21+V57*'Appliance Stock Profile'!$B$20+W57*'Appliance Stock Profile'!$C$21+X57*'Appliance Stock Profile'!$C$20+P57*'Appliance Stock Profile'!$D$20</f>
        <v>-4411.5404212164931</v>
      </c>
      <c r="BD57" s="344">
        <f t="shared" si="11"/>
        <v>22289.957469903082</v>
      </c>
      <c r="BE57" s="344">
        <f>GasEmissions*(BA57+BC57)+'stock-flow model'!$B23*(BB57+BD57)/1000</f>
        <v>-67.422734303030964</v>
      </c>
      <c r="BF57" s="344">
        <f>GasEmissions*(SUM($BA$36:$BA57)+SUM($BC$36:$BC57))+'stock-flow model'!$B23*(SUM($BB$36:$BB57)+SUM($BD$36:$BD57))/1000</f>
        <v>-4579.1391440296939</v>
      </c>
      <c r="BG57" s="343">
        <f>'NC Reach Code Impacts'!AC24+BF57</f>
        <v>733387.24697084154</v>
      </c>
      <c r="BH57" s="344">
        <f t="shared" si="12"/>
        <v>306295.87965504348</v>
      </c>
      <c r="BI57" s="344">
        <f t="shared" si="13"/>
        <v>6227.5647209625167</v>
      </c>
      <c r="BJ57" s="344">
        <f t="shared" si="14"/>
        <v>412460.39783280337</v>
      </c>
      <c r="BK57" s="347">
        <f>'NC Reach Code Impacts'!E24-SUM(P$36:P57)</f>
        <v>34484.807251621234</v>
      </c>
      <c r="BL57" s="350">
        <f t="shared" si="15"/>
        <v>396004.48402906547</v>
      </c>
      <c r="BM57" s="36">
        <f t="shared" si="21"/>
        <v>-67.422734303030666</v>
      </c>
      <c r="BN57" s="36">
        <f t="shared" si="23"/>
        <v>-4579.1391440296939</v>
      </c>
      <c r="BO57" s="36">
        <f t="shared" si="24"/>
        <v>0</v>
      </c>
    </row>
    <row r="58" spans="1:67" hidden="1" x14ac:dyDescent="0.3">
      <c r="A58" s="257">
        <f t="shared" si="1"/>
        <v>1</v>
      </c>
      <c r="B58" s="342">
        <v>2042</v>
      </c>
      <c r="C58" s="343">
        <f>'NC Reach Code Impacts'!D25+SUM(P$36:P57)</f>
        <v>412460.39783280389</v>
      </c>
      <c r="D58" s="343">
        <f t="shared" si="2"/>
        <v>128003.8036836719</v>
      </c>
      <c r="E58" s="343">
        <f t="shared" si="3"/>
        <v>284456.59414913203</v>
      </c>
      <c r="F58" s="344">
        <f>($D58-SUM($I$36:$I57))*((AssessmentTrigger="Rental")+(AssessmentTrigger="Resale and rental"))*MoveRate</f>
        <v>0</v>
      </c>
      <c r="G58" s="344">
        <f>($E58-SUM($J$36:$J57))*((AssessmentTrigger="Home resale")+(AssessmentTrigger="Resale and rental"))*HomeResaleRate</f>
        <v>5094.9993624293265</v>
      </c>
      <c r="H58" s="344">
        <f>($C58-SUM($K$36:$K57))*(AssessmentTrigger="Major renovation")*RenovationRate+$C$20*(AssessmentTrigger="Other")</f>
        <v>0</v>
      </c>
      <c r="I58" s="344">
        <f t="shared" si="4"/>
        <v>0</v>
      </c>
      <c r="J58" s="344">
        <f t="shared" si="5"/>
        <v>5094.9993624293265</v>
      </c>
      <c r="K58" s="344">
        <f t="shared" si="6"/>
        <v>0</v>
      </c>
      <c r="L58" s="344">
        <f t="shared" si="16"/>
        <v>5094.9993624293265</v>
      </c>
      <c r="M58" s="344">
        <f t="shared" si="7"/>
        <v>509.49993624293268</v>
      </c>
      <c r="N58" s="345">
        <f>-MIN(AssessmentConvertFurnace+AssessmentConvertHouse,1)*(MAX(('NC Reach Code Impacts'!T25+SUM(N$36:N57)),0)/C58)*M58</f>
        <v>-11.798967764746884</v>
      </c>
      <c r="O58" s="345">
        <f>-MIN(AssessmentConvertDHW+AssessmentConvertHouse,1)*(MAX(('NC Reach Code Impacts'!U25+SUM(O$36:O57)),0)/C58)*$M58</f>
        <v>-5.0657102197970207</v>
      </c>
      <c r="P58" s="345">
        <f t="shared" si="8"/>
        <v>-25.474996812146635</v>
      </c>
      <c r="Q58" s="345">
        <f>('NC Reach Code Impacts'!AD25/('NC Reach Code Impacts'!T25+'NC Reach Code Impacts'!M25))*R58</f>
        <v>2.9401323052896338</v>
      </c>
      <c r="R58" s="345">
        <f t="shared" si="17"/>
        <v>11.798967764746884</v>
      </c>
      <c r="S58" s="345">
        <f t="shared" si="17"/>
        <v>5.0657102197970207</v>
      </c>
      <c r="T58" s="346">
        <v>0</v>
      </c>
      <c r="U58" s="345">
        <f t="shared" si="22"/>
        <v>-8.1821890874958232</v>
      </c>
      <c r="V58" s="345">
        <f>$N58*('NC Reach Code Impacts'!$T25+SUM(V$36:V57))/('NC Reach Code Impacts'!$M25+'NC Reach Code Impacts'!$T25+SUM(N$36:N57))</f>
        <v>-3.6167786772510602</v>
      </c>
      <c r="W58" s="345">
        <f t="shared" si="18"/>
        <v>-4.5032622535280469</v>
      </c>
      <c r="X58" s="345">
        <f>$O58*('NC Reach Code Impacts'!$U25+SUM(X$36:X57))/('NC Reach Code Impacts'!$N25+'NC Reach Code Impacts'!$U25+SUM(O$36:O57))</f>
        <v>-0.56244796626897353</v>
      </c>
      <c r="Y58" s="347">
        <f>MAX(M58*'NC Reach Code Impacts'!T25/'NC Reach Code Impacts'!D25+N58,0)</f>
        <v>106.90254705362617</v>
      </c>
      <c r="Z58" s="347">
        <f>MAX($M58*'NC Reach Code Impacts'!U25/'NC Reach Code Impacts'!$D25+O58,0)</f>
        <v>46.25810265706243</v>
      </c>
      <c r="AA58" s="347">
        <f t="shared" si="19"/>
        <v>484.02493943078605</v>
      </c>
      <c r="AB58" s="347">
        <f>MAX($M58*('NC Reach Code Impacts'!W25-SUM(AB$36:AB57))/'NC Reach Code Impacts'!$D25,0)</f>
        <v>24.17842188745238</v>
      </c>
      <c r="AC58" s="347">
        <f>MAX($M58*('NC Reach Code Impacts'!X25-SUM(AC$36:AC57))/'NC Reach Code Impacts'!$D25,0)</f>
        <v>22.67898487117624</v>
      </c>
      <c r="AD58" s="347">
        <f>MAX($M58*('NC Reach Code Impacts'!Y25-SUM(AD$36:AD57))/'NC Reach Code Impacts'!$D25,0)</f>
        <v>3.6704351099116552</v>
      </c>
      <c r="AE58" s="347">
        <f t="shared" si="20"/>
        <v>509.49993624293268</v>
      </c>
      <c r="AF58" s="344">
        <f>'NC Reach Code Impacts'!M25</f>
        <v>217006.1225456947</v>
      </c>
      <c r="AG58" s="344">
        <f>'NC Reach Code Impacts'!N25</f>
        <v>331184.59488266351</v>
      </c>
      <c r="AH58" s="344">
        <f>'NC Reach Code Impacts'!O25</f>
        <v>0</v>
      </c>
      <c r="AI58" s="344">
        <f>'NC Reach Code Impacts'!P25+SUM(Q$36:Q58)</f>
        <v>120437.97551862845</v>
      </c>
      <c r="AJ58" s="344">
        <f>'NC Reach Code Impacts'!Q25+SUM(R$36:R58)</f>
        <v>115572.14906444123</v>
      </c>
      <c r="AK58" s="344">
        <f>'NC Reach Code Impacts'!R25+SUM(S$36:S58)</f>
        <v>72767.612700738042</v>
      </c>
      <c r="AL58" s="344">
        <f>'NC Reach Code Impacts'!S25</f>
        <v>35219.597312018654</v>
      </c>
      <c r="AM58" s="348">
        <f>MAX('NC Reach Code Impacts'!T25+SUM(N$36:N58),0)</f>
        <v>95505.522862546539</v>
      </c>
      <c r="AN58" s="348">
        <f>MAX('NC Reach Code Impacts'!U25+SUM(O$36:O58),0)</f>
        <v>41003.866851587984</v>
      </c>
      <c r="AO58" s="348">
        <f>MAX('NC Reach Code Impacts'!V25+SUM(P$36:P58),0)</f>
        <v>412434.92283599119</v>
      </c>
      <c r="AP58" s="348">
        <f>'NC Reach Code Impacts'!W25</f>
        <v>21815.180829967925</v>
      </c>
      <c r="AQ58" s="348">
        <f>'NC Reach Code Impacts'!X25</f>
        <v>20462.301398652067</v>
      </c>
      <c r="AR58" s="348">
        <f>'NC Reach Code Impacts'!Y25</f>
        <v>3590.0214363449777</v>
      </c>
      <c r="AS58" s="348">
        <f>'NC Reach Code Impacts'!Z25</f>
        <v>413326.49855931586</v>
      </c>
      <c r="AT58" s="349">
        <f>MAX(AM58-SUM(Y$36:Y58),0)</f>
        <v>88384.676754686108</v>
      </c>
      <c r="AU58" s="349">
        <f>MAX(AN58-SUM(Z$36:Z58),0)</f>
        <v>35303.188226377199</v>
      </c>
      <c r="AV58" s="349">
        <f>MAX(AO58-SUM(AA$36:AA58),0)</f>
        <v>395494.98409282253</v>
      </c>
      <c r="AW58" s="349">
        <f>MAX(AP58-SUM(AB$36:AB58),0)</f>
        <v>19590.313648756553</v>
      </c>
      <c r="AX58" s="349">
        <f>MAX(AQ58-SUM(AC$36:AC58),0)</f>
        <v>18375.410476740628</v>
      </c>
      <c r="AY58" s="349">
        <f>MAX(AR58-SUM(AD$36:AD58),0)</f>
        <v>2973.931688564559</v>
      </c>
      <c r="AZ58" s="349">
        <f>MAX(AS58-SUM(AE$36:AE58),0)</f>
        <v>395494.98409282253</v>
      </c>
      <c r="BA58" s="344">
        <f t="shared" si="9"/>
        <v>-7545.4045980622686</v>
      </c>
      <c r="BB58" s="344">
        <f t="shared" si="10"/>
        <v>-455186.33059452823</v>
      </c>
      <c r="BC58" s="344">
        <f>U58*'Appliance Stock Profile'!$B$21+V58*'Appliance Stock Profile'!$B$20+W58*'Appliance Stock Profile'!$C$21+X58*'Appliance Stock Profile'!$C$20+P58*'Appliance Stock Profile'!$D$20</f>
        <v>-3976.185425054005</v>
      </c>
      <c r="BD58" s="344">
        <f t="shared" si="11"/>
        <v>19967.863989460697</v>
      </c>
      <c r="BE58" s="344">
        <f>GasEmissions*(BA58+BC58)+'stock-flow model'!$B24*(BB58+BD58)/1000</f>
        <v>-61.06442712251625</v>
      </c>
      <c r="BF58" s="344">
        <f>GasEmissions*(SUM($BA$36:$BA58)+SUM($BC$36:$BC58))+'stock-flow model'!$B24*(SUM($BB$36:$BB58)+SUM($BD$36:$BD58))/1000</f>
        <v>-4640.2035711522103</v>
      </c>
      <c r="BG58" s="343">
        <f>'NC Reach Code Impacts'!AC25+BF58</f>
        <v>729818.43775471731</v>
      </c>
      <c r="BH58" s="344">
        <f t="shared" si="12"/>
        <v>306292.93952273816</v>
      </c>
      <c r="BI58" s="344">
        <f t="shared" si="13"/>
        <v>6218.7058855030773</v>
      </c>
      <c r="BJ58" s="344">
        <f t="shared" si="14"/>
        <v>412434.92283599119</v>
      </c>
      <c r="BK58" s="347">
        <f>'NC Reach Code Impacts'!E25-SUM(P$36:P58)</f>
        <v>36111.173035343323</v>
      </c>
      <c r="BL58" s="350">
        <f t="shared" si="15"/>
        <v>395494.98409282253</v>
      </c>
      <c r="BM58" s="36">
        <f t="shared" si="21"/>
        <v>-61.064427122516463</v>
      </c>
      <c r="BN58" s="36">
        <f t="shared" si="23"/>
        <v>-4640.2035711522103</v>
      </c>
      <c r="BO58" s="36">
        <f t="shared" si="24"/>
        <v>0</v>
      </c>
    </row>
    <row r="59" spans="1:67" hidden="1" x14ac:dyDescent="0.3">
      <c r="A59" s="257">
        <f t="shared" si="1"/>
        <v>1</v>
      </c>
      <c r="B59" s="342">
        <v>2043</v>
      </c>
      <c r="C59" s="343">
        <f>'NC Reach Code Impacts'!D26+SUM(P$36:P58)</f>
        <v>412434.92283599178</v>
      </c>
      <c r="D59" s="343">
        <f t="shared" si="2"/>
        <v>127995.89772104393</v>
      </c>
      <c r="E59" s="343">
        <f t="shared" si="3"/>
        <v>284439.02511494781</v>
      </c>
      <c r="F59" s="344">
        <f>($D59-SUM($I$36:$I58))*((AssessmentTrigger="Rental")+(AssessmentTrigger="Resale and rental"))*MoveRate</f>
        <v>0</v>
      </c>
      <c r="G59" s="344">
        <f>($E59-SUM($J$36:$J58))*((AssessmentTrigger="Home resale")+(AssessmentTrigger="Resale and rental"))*HomeResaleRate</f>
        <v>4860.8267239532661</v>
      </c>
      <c r="H59" s="344">
        <f>($C59-SUM($K$36:$K58))*(AssessmentTrigger="Major renovation")*RenovationRate+$C$20*(AssessmentTrigger="Other")</f>
        <v>0</v>
      </c>
      <c r="I59" s="344">
        <f t="shared" si="4"/>
        <v>0</v>
      </c>
      <c r="J59" s="344">
        <f t="shared" si="5"/>
        <v>4860.8267239532661</v>
      </c>
      <c r="K59" s="344">
        <f t="shared" si="6"/>
        <v>0</v>
      </c>
      <c r="L59" s="344">
        <f t="shared" si="16"/>
        <v>4860.8267239532661</v>
      </c>
      <c r="M59" s="344">
        <f t="shared" si="7"/>
        <v>486.08267239532665</v>
      </c>
      <c r="N59" s="345">
        <f>-MIN(AssessmentConvertFurnace+AssessmentConvertHouse,1)*(MAX(('NC Reach Code Impacts'!T26+SUM(N$36:N58)),0)/C59)*M59</f>
        <v>-10.688523682789386</v>
      </c>
      <c r="O59" s="345">
        <f>-MIN(AssessmentConvertDHW+AssessmentConvertHouse,1)*(MAX(('NC Reach Code Impacts'!U26+SUM(O$36:O58)),0)/C59)*$M59</f>
        <v>-4.3864874648996866</v>
      </c>
      <c r="P59" s="345">
        <f t="shared" si="8"/>
        <v>-24.304133619766333</v>
      </c>
      <c r="Q59" s="345">
        <f>('NC Reach Code Impacts'!AD26/('NC Reach Code Impacts'!T26+'NC Reach Code Impacts'!M26))*R59</f>
        <v>2.5365346109331037</v>
      </c>
      <c r="R59" s="345">
        <f t="shared" si="17"/>
        <v>10.688523682789386</v>
      </c>
      <c r="S59" s="345">
        <f t="shared" si="17"/>
        <v>4.3864874648996866</v>
      </c>
      <c r="T59" s="346">
        <v>0</v>
      </c>
      <c r="U59" s="345">
        <f t="shared" si="22"/>
        <v>-7.5768080037944427</v>
      </c>
      <c r="V59" s="345">
        <f>$N59*('NC Reach Code Impacts'!$T26+SUM(V$36:V58))/('NC Reach Code Impacts'!$M26+'NC Reach Code Impacts'!$T26+SUM(N$36:N58))</f>
        <v>-3.1117156789949432</v>
      </c>
      <c r="W59" s="345">
        <f t="shared" si="18"/>
        <v>-3.9440635936122672</v>
      </c>
      <c r="X59" s="345">
        <f>$O59*('NC Reach Code Impacts'!$U26+SUM(X$36:X58))/('NC Reach Code Impacts'!$N26+'NC Reach Code Impacts'!$U26+SUM(O$36:O58))</f>
        <v>-0.44242387128741933</v>
      </c>
      <c r="Y59" s="347">
        <f>MAX(M59*'NC Reach Code Impacts'!T26/'NC Reach Code Impacts'!D26+N59,0)</f>
        <v>96.89502670481707</v>
      </c>
      <c r="Z59" s="347">
        <f>MAX($M59*'NC Reach Code Impacts'!U26/'NC Reach Code Impacts'!$D26+O59,0)</f>
        <v>40.127062793928538</v>
      </c>
      <c r="AA59" s="347">
        <f t="shared" si="19"/>
        <v>461.77853877556032</v>
      </c>
      <c r="AB59" s="347">
        <f>MAX($M59*('NC Reach Code Impacts'!W26-SUM(AB$36:AB58))/'NC Reach Code Impacts'!$D26,0)</f>
        <v>21.32836861190798</v>
      </c>
      <c r="AC59" s="347">
        <f>MAX($M59*('NC Reach Code Impacts'!X26-SUM(AC$36:AC58))/'NC Reach Code Impacts'!$D26,0)</f>
        <v>20.005679085588095</v>
      </c>
      <c r="AD59" s="347">
        <f>MAX($M59*('NC Reach Code Impacts'!Y26-SUM(AD$36:AD58))/'NC Reach Code Impacts'!$D26,0)</f>
        <v>3.0752249027234533</v>
      </c>
      <c r="AE59" s="347">
        <f t="shared" si="20"/>
        <v>486.08267239532665</v>
      </c>
      <c r="AF59" s="344">
        <f>'NC Reach Code Impacts'!M26</f>
        <v>221820.89071380801</v>
      </c>
      <c r="AG59" s="344">
        <f>'NC Reach Code Impacts'!N26</f>
        <v>334969.67732064892</v>
      </c>
      <c r="AH59" s="344">
        <f>'NC Reach Code Impacts'!O26</f>
        <v>0</v>
      </c>
      <c r="AI59" s="344">
        <f>'NC Reach Code Impacts'!P26+SUM(Q$36:Q59)</f>
        <v>123495.74822881384</v>
      </c>
      <c r="AJ59" s="344">
        <f>'NC Reach Code Impacts'!Q26+SUM(R$36:R59)</f>
        <v>118547.88180161075</v>
      </c>
      <c r="AK59" s="344">
        <f>'NC Reach Code Impacts'!R26+SUM(S$36:S59)</f>
        <v>74731.89211874739</v>
      </c>
      <c r="AL59" s="344">
        <f>'NC Reach Code Impacts'!S26</f>
        <v>36820.488098928596</v>
      </c>
      <c r="AM59" s="348">
        <f>MAX('NC Reach Code Impacts'!T26+SUM(N$36:N59),0)</f>
        <v>90680.066170750404</v>
      </c>
      <c r="AN59" s="348">
        <f>MAX('NC Reach Code Impacts'!U26+SUM(O$36:O59),0)</f>
        <v>37214.397926137681</v>
      </c>
      <c r="AO59" s="348">
        <f>MAX('NC Reach Code Impacts'!V26+SUM(P$36:P59),0)</f>
        <v>412410.61870237143</v>
      </c>
      <c r="AP59" s="348">
        <f>'NC Reach Code Impacts'!W26</f>
        <v>20360.835441303396</v>
      </c>
      <c r="AQ59" s="348">
        <f>'NC Reach Code Impacts'!X26</f>
        <v>19098.147972075269</v>
      </c>
      <c r="AR59" s="348">
        <f>'NC Reach Code Impacts'!Y26</f>
        <v>3231.0192927104799</v>
      </c>
      <c r="AS59" s="348">
        <f>'NC Reach Code Impacts'!Z26</f>
        <v>413326.49855931586</v>
      </c>
      <c r="AT59" s="349">
        <f>MAX(AM59-SUM(Y$36:Y59),0)</f>
        <v>83462.325036185153</v>
      </c>
      <c r="AU59" s="349">
        <f>MAX(AN59-SUM(Z$36:Z59),0)</f>
        <v>31473.592238132966</v>
      </c>
      <c r="AV59" s="349">
        <f>MAX(AO59-SUM(AA$36:AA59),0)</f>
        <v>395008.9014204272</v>
      </c>
      <c r="AW59" s="349">
        <f>MAX(AP59-SUM(AB$36:AB59),0)</f>
        <v>18114.639891480118</v>
      </c>
      <c r="AX59" s="349">
        <f>MAX(AQ59-SUM(AC$36:AC59),0)</f>
        <v>16991.25137107824</v>
      </c>
      <c r="AY59" s="349">
        <f>MAX(AR59-SUM(AD$36:AD59),0)</f>
        <v>2611.854320027338</v>
      </c>
      <c r="AZ59" s="349">
        <f>MAX(AS59-SUM(AE$36:AE59),0)</f>
        <v>395008.9014204272</v>
      </c>
      <c r="BA59" s="344">
        <f t="shared" si="9"/>
        <v>-6859.0442567351083</v>
      </c>
      <c r="BB59" s="344">
        <f t="shared" si="10"/>
        <v>-433579.67130158178</v>
      </c>
      <c r="BC59" s="344">
        <f>U59*'Appliance Stock Profile'!$B$21+V59*'Appliance Stock Profile'!$B$20+W59*'Appliance Stock Profile'!$C$21+X59*'Appliance Stock Profile'!$C$20+P59*'Appliance Stock Profile'!$D$20</f>
        <v>-3588.0343068178499</v>
      </c>
      <c r="BD59" s="344">
        <f t="shared" si="11"/>
        <v>17893.76364746808</v>
      </c>
      <c r="BE59" s="344">
        <f>GasEmissions*(BA59+BC59)+'stock-flow model'!$B25*(BB59+BD59)/1000</f>
        <v>-55.369516386830675</v>
      </c>
      <c r="BF59" s="344">
        <f>GasEmissions*(SUM($BA$36:$BA59)+SUM($BC$36:$BC59))+'stock-flow model'!$B25*(SUM($BB$36:$BB59)+SUM($BD$36:$BD59))/1000</f>
        <v>-4695.5730875390409</v>
      </c>
      <c r="BG59" s="343">
        <f>'NC Reach Code Impacts'!AC26+BF59</f>
        <v>726524.70410284959</v>
      </c>
      <c r="BH59" s="344">
        <f t="shared" si="12"/>
        <v>306290.4029881272</v>
      </c>
      <c r="BI59" s="344">
        <f t="shared" si="13"/>
        <v>6210.5538964312145</v>
      </c>
      <c r="BJ59" s="344">
        <f t="shared" si="14"/>
        <v>412410.61870237143</v>
      </c>
      <c r="BK59" s="347">
        <f>'NC Reach Code Impacts'!E26-SUM(P$36:P59)</f>
        <v>37736.367955873029</v>
      </c>
      <c r="BL59" s="350">
        <f t="shared" si="15"/>
        <v>395008.9014204272</v>
      </c>
      <c r="BM59" s="36">
        <f t="shared" si="21"/>
        <v>-55.369516386830583</v>
      </c>
      <c r="BN59" s="36">
        <f t="shared" si="23"/>
        <v>-4695.5730875390409</v>
      </c>
      <c r="BO59" s="36">
        <f t="shared" si="24"/>
        <v>0</v>
      </c>
    </row>
    <row r="60" spans="1:67" hidden="1" x14ac:dyDescent="0.3">
      <c r="A60" s="257">
        <f t="shared" si="1"/>
        <v>1</v>
      </c>
      <c r="B60" s="342">
        <v>2044</v>
      </c>
      <c r="C60" s="343">
        <f>'NC Reach Code Impacts'!D27+SUM(P$36:P59)</f>
        <v>412410.61870237201</v>
      </c>
      <c r="D60" s="343">
        <f t="shared" si="2"/>
        <v>127988.35512649447</v>
      </c>
      <c r="E60" s="343">
        <f t="shared" si="3"/>
        <v>284422.26357587753</v>
      </c>
      <c r="F60" s="344">
        <f>($D60-SUM($I$36:$I59))*((AssessmentTrigger="Rental")+(AssessmentTrigger="Resale and rental"))*MoveRate</f>
        <v>0</v>
      </c>
      <c r="G60" s="344">
        <f>($E60-SUM($J$36:$J59))*((AssessmentTrigger="Home resale")+(AssessmentTrigger="Resale and rental"))*HomeResaleRate</f>
        <v>4637.4169572088904</v>
      </c>
      <c r="H60" s="344">
        <f>($C60-SUM($K$36:$K59))*(AssessmentTrigger="Major renovation")*RenovationRate+$C$20*(AssessmentTrigger="Other")</f>
        <v>0</v>
      </c>
      <c r="I60" s="344">
        <f t="shared" si="4"/>
        <v>0</v>
      </c>
      <c r="J60" s="344">
        <f t="shared" si="5"/>
        <v>4637.4169572088904</v>
      </c>
      <c r="K60" s="344">
        <f t="shared" si="6"/>
        <v>0</v>
      </c>
      <c r="L60" s="344">
        <f t="shared" si="16"/>
        <v>4637.4169572088904</v>
      </c>
      <c r="M60" s="344">
        <f t="shared" si="7"/>
        <v>463.74169572088908</v>
      </c>
      <c r="N60" s="345">
        <f>-MIN(AssessmentConvertFurnace+AssessmentConvertHouse,1)*(MAX(('NC Reach Code Impacts'!T27+SUM(N$36:N59)),0)/C60)*M60</f>
        <v>-9.6823305526667127</v>
      </c>
      <c r="O60" s="345">
        <f>-MIN(AssessmentConvertDHW+AssessmentConvertHouse,1)*(MAX(('NC Reach Code Impacts'!U27+SUM(O$36:O59)),0)/C60)*$M60</f>
        <v>-3.7977053737502362</v>
      </c>
      <c r="P60" s="345">
        <f t="shared" si="8"/>
        <v>-23.187084786044455</v>
      </c>
      <c r="Q60" s="345">
        <f>('NC Reach Code Impacts'!AD27/('NC Reach Code Impacts'!T27+'NC Reach Code Impacts'!M27))*R60</f>
        <v>2.1883581531036684</v>
      </c>
      <c r="R60" s="345">
        <f t="shared" si="17"/>
        <v>9.6823305526667127</v>
      </c>
      <c r="S60" s="345">
        <f t="shared" si="17"/>
        <v>3.7977053737502362</v>
      </c>
      <c r="T60" s="346">
        <v>0</v>
      </c>
      <c r="U60" s="345">
        <f t="shared" si="22"/>
        <v>-7.0052634821235245</v>
      </c>
      <c r="V60" s="345">
        <f>$N60*('NC Reach Code Impacts'!$T27+SUM(V$36:V59))/('NC Reach Code Impacts'!$M27+'NC Reach Code Impacts'!$T27+SUM(N$36:N59))</f>
        <v>-2.6770670705431878</v>
      </c>
      <c r="W60" s="345">
        <f t="shared" si="18"/>
        <v>-3.4497776704715446</v>
      </c>
      <c r="X60" s="345">
        <f>$O60*('NC Reach Code Impacts'!$U27+SUM(X$36:X59))/('NC Reach Code Impacts'!$N27+'NC Reach Code Impacts'!$U27+SUM(O$36:O59))</f>
        <v>-0.34792770327869166</v>
      </c>
      <c r="Y60" s="347">
        <f>MAX(M60*'NC Reach Code Impacts'!T27/'NC Reach Code Impacts'!D27+N60,0)</f>
        <v>87.824599596561328</v>
      </c>
      <c r="Z60" s="347">
        <f>MAX($M60*'NC Reach Code Impacts'!U27/'NC Reach Code Impacts'!$D27+O60,0)</f>
        <v>34.809250064251032</v>
      </c>
      <c r="AA60" s="347">
        <f t="shared" si="19"/>
        <v>440.55461093484462</v>
      </c>
      <c r="AB60" s="347">
        <f>MAX($M60*('NC Reach Code Impacts'!W27-SUM(AB$36:AB59))/'NC Reach Code Impacts'!$D27,0)</f>
        <v>18.801204271873612</v>
      </c>
      <c r="AC60" s="347">
        <f>MAX($M60*('NC Reach Code Impacts'!X27-SUM(AC$36:AC59))/'NC Reach Code Impacts'!$D27,0)</f>
        <v>17.635238115478344</v>
      </c>
      <c r="AD60" s="347">
        <f>MAX($M60*('NC Reach Code Impacts'!Y27-SUM(AD$36:AD59))/'NC Reach Code Impacts'!$D27,0)</f>
        <v>2.5679212885554707</v>
      </c>
      <c r="AE60" s="347">
        <f t="shared" si="20"/>
        <v>463.74169572088908</v>
      </c>
      <c r="AF60" s="344">
        <f>'NC Reach Code Impacts'!M27</f>
        <v>226394.92047351567</v>
      </c>
      <c r="AG60" s="344">
        <f>'NC Reach Code Impacts'!N27</f>
        <v>338410.66135518107</v>
      </c>
      <c r="AH60" s="344">
        <f>'NC Reach Code Impacts'!O27</f>
        <v>0</v>
      </c>
      <c r="AI60" s="344">
        <f>'NC Reach Code Impacts'!P27+SUM(Q$36:Q60)</f>
        <v>126456.21640329712</v>
      </c>
      <c r="AJ60" s="344">
        <f>'NC Reach Code Impacts'!Q27+SUM(R$36:R60)</f>
        <v>121431.66478387838</v>
      </c>
      <c r="AK60" s="344">
        <f>'NC Reach Code Impacts'!R27+SUM(S$36:S60)</f>
        <v>76659.682540302107</v>
      </c>
      <c r="AL60" s="344">
        <f>'NC Reach Code Impacts'!S27</f>
        <v>38421.378885838538</v>
      </c>
      <c r="AM60" s="348">
        <f>MAX('NC Reach Code Impacts'!T27+SUM(N$36:N60),0)</f>
        <v>86096.354080490084</v>
      </c>
      <c r="AN60" s="348">
        <f>MAX('NC Reach Code Impacts'!U27+SUM(O$36:O60),0)</f>
        <v>33769.616186231775</v>
      </c>
      <c r="AO60" s="348">
        <f>MAX('NC Reach Code Impacts'!V27+SUM(P$36:P60),0)</f>
        <v>412387.43161758536</v>
      </c>
      <c r="AP60" s="348">
        <f>'NC Reach Code Impacts'!W27</f>
        <v>19003.446411883167</v>
      </c>
      <c r="AQ60" s="348">
        <f>'NC Reach Code Impacts'!X27</f>
        <v>17824.938107270253</v>
      </c>
      <c r="AR60" s="348">
        <f>'NC Reach Code Impacts'!Y27</f>
        <v>2907.9173634394319</v>
      </c>
      <c r="AS60" s="348">
        <f>'NC Reach Code Impacts'!Z27</f>
        <v>413326.49855931586</v>
      </c>
      <c r="AT60" s="349">
        <f>MAX(AM60-SUM(Y$36:Y60),0)</f>
        <v>78790.788346328278</v>
      </c>
      <c r="AU60" s="349">
        <f>MAX(AN60-SUM(Z$36:Z60),0)</f>
        <v>27994.001248162807</v>
      </c>
      <c r="AV60" s="349">
        <f>MAX(AO60-SUM(AA$36:AA60),0)</f>
        <v>394545.15972470626</v>
      </c>
      <c r="AW60" s="349">
        <f>MAX(AP60-SUM(AB$36:AB60),0)</f>
        <v>16738.449657788016</v>
      </c>
      <c r="AX60" s="349">
        <f>MAX(AQ60-SUM(AC$36:AC60),0)</f>
        <v>15700.406268157747</v>
      </c>
      <c r="AY60" s="349">
        <f>MAX(AR60-SUM(AD$36:AD60),0)</f>
        <v>2286.1844694677343</v>
      </c>
      <c r="AZ60" s="349">
        <f>MAX(AS60-SUM(AE$36:AE60),0)</f>
        <v>394545.15972470632</v>
      </c>
      <c r="BA60" s="344">
        <f t="shared" si="9"/>
        <v>-6242.122231327161</v>
      </c>
      <c r="BB60" s="344">
        <f t="shared" si="10"/>
        <v>-413044.28602249204</v>
      </c>
      <c r="BC60" s="344">
        <f>U60*'Appliance Stock Profile'!$B$21+V60*'Appliance Stock Profile'!$B$20+W60*'Appliance Stock Profile'!$C$21+X60*'Appliance Stock Profile'!$C$20+P60*'Appliance Stock Profile'!$D$20</f>
        <v>-3241.5308843772709</v>
      </c>
      <c r="BD60" s="344">
        <f t="shared" si="11"/>
        <v>16040.37678113421</v>
      </c>
      <c r="BE60" s="344">
        <f>GasEmissions*(BA60+BC60)+'stock-flow model'!$B26*(BB60+BD60)/1000</f>
        <v>-50.263361513233491</v>
      </c>
      <c r="BF60" s="344">
        <f>GasEmissions*(SUM($BA$36:$BA60)+SUM($BC$36:$BC60))+'stock-flow model'!$B26*(SUM($BB$36:$BB60)+SUM($BD$36:$BD60))/1000</f>
        <v>-4745.8364490522745</v>
      </c>
      <c r="BG60" s="343">
        <f>'NC Reach Code Impacts'!AC27+BF60</f>
        <v>723483.44337087555</v>
      </c>
      <c r="BH60" s="344">
        <f t="shared" si="12"/>
        <v>306288.2146299741</v>
      </c>
      <c r="BI60" s="344">
        <f t="shared" si="13"/>
        <v>6203.0599240316515</v>
      </c>
      <c r="BJ60" s="344">
        <f t="shared" si="14"/>
        <v>412387.43161758536</v>
      </c>
      <c r="BK60" s="347">
        <f>'NC Reach Code Impacts'!E27-SUM(P$36:P60)</f>
        <v>39360.445827569012</v>
      </c>
      <c r="BL60" s="350">
        <f t="shared" si="15"/>
        <v>394545.15972470626</v>
      </c>
      <c r="BM60" s="36">
        <f t="shared" si="21"/>
        <v>-50.263361513233576</v>
      </c>
      <c r="BN60" s="36">
        <f t="shared" si="23"/>
        <v>-4745.8364490522745</v>
      </c>
      <c r="BO60" s="36">
        <f t="shared" si="24"/>
        <v>0</v>
      </c>
    </row>
    <row r="61" spans="1:67" hidden="1" x14ac:dyDescent="0.3">
      <c r="A61" s="257">
        <f t="shared" si="1"/>
        <v>1</v>
      </c>
      <c r="B61" s="342">
        <v>2045</v>
      </c>
      <c r="C61" s="343">
        <f>'NC Reach Code Impacts'!D28+SUM(P$36:P60)</f>
        <v>412387.431617586</v>
      </c>
      <c r="D61" s="343">
        <f t="shared" si="2"/>
        <v>127981.15919916534</v>
      </c>
      <c r="E61" s="343">
        <f t="shared" si="3"/>
        <v>284406.27241842065</v>
      </c>
      <c r="F61" s="344">
        <f>($D61-SUM($I$36:$I60))*((AssessmentTrigger="Rental")+(AssessmentTrigger="Resale and rental"))*MoveRate</f>
        <v>0</v>
      </c>
      <c r="G61" s="344">
        <f>($E61-SUM($J$36:$J60))*((AssessmentTrigger="Home resale")+(AssessmentTrigger="Resale and rental"))*HomeResaleRate</f>
        <v>4424.2753869486287</v>
      </c>
      <c r="H61" s="344">
        <f>($C61-SUM($K$36:$K60))*(AssessmentTrigger="Major renovation")*RenovationRate+$C$20*(AssessmentTrigger="Other")</f>
        <v>0</v>
      </c>
      <c r="I61" s="344">
        <f t="shared" si="4"/>
        <v>0</v>
      </c>
      <c r="J61" s="344">
        <f t="shared" si="5"/>
        <v>4424.2753869486287</v>
      </c>
      <c r="K61" s="344">
        <f t="shared" si="6"/>
        <v>0</v>
      </c>
      <c r="L61" s="344">
        <f t="shared" si="16"/>
        <v>4424.2753869486287</v>
      </c>
      <c r="M61" s="344">
        <f t="shared" si="7"/>
        <v>442.4275386948629</v>
      </c>
      <c r="N61" s="345">
        <f>-MIN(AssessmentConvertFurnace+AssessmentConvertHouse,1)*(MAX(('NC Reach Code Impacts'!T28+SUM(N$36:N60)),0)/C61)*M61</f>
        <v>-8.7706128657901026</v>
      </c>
      <c r="O61" s="345">
        <f>-MIN(AssessmentConvertDHW+AssessmentConvertHouse,1)*(MAX(('NC Reach Code Impacts'!U28+SUM(O$36:O60)),0)/C61)*$M61</f>
        <v>-3.2873506250618219</v>
      </c>
      <c r="P61" s="345">
        <f t="shared" si="8"/>
        <v>-22.121376934743147</v>
      </c>
      <c r="Q61" s="345">
        <f>('NC Reach Code Impacts'!AD28/('NC Reach Code Impacts'!T28+'NC Reach Code Impacts'!M28))*R61</f>
        <v>1.8879771009351962</v>
      </c>
      <c r="R61" s="345">
        <f t="shared" si="17"/>
        <v>8.7706128657901026</v>
      </c>
      <c r="S61" s="345">
        <f t="shared" si="17"/>
        <v>3.2873506250618219</v>
      </c>
      <c r="T61" s="346">
        <v>0</v>
      </c>
      <c r="U61" s="345">
        <f t="shared" si="22"/>
        <v>-6.4675857908595127</v>
      </c>
      <c r="V61" s="345">
        <f>$N61*('NC Reach Code Impacts'!$T28+SUM(V$36:V60))/('NC Reach Code Impacts'!$M28+'NC Reach Code Impacts'!$T28+SUM(N$36:N60))</f>
        <v>-2.3030270749305903</v>
      </c>
      <c r="W61" s="345">
        <f t="shared" si="18"/>
        <v>-3.0138093084252264</v>
      </c>
      <c r="X61" s="345">
        <f>$O61*('NC Reach Code Impacts'!$U28+SUM(X$36:X60))/('NC Reach Code Impacts'!$N28+'NC Reach Code Impacts'!$U28+SUM(O$36:O60))</f>
        <v>-0.27354131663659531</v>
      </c>
      <c r="Y61" s="347">
        <f>MAX(M61*'NC Reach Code Impacts'!T28/'NC Reach Code Impacts'!D28+N61,0)</f>
        <v>79.603505601875838</v>
      </c>
      <c r="Z61" s="347">
        <f>MAX($M61*'NC Reach Code Impacts'!U28/'NC Reach Code Impacts'!$D28+O61,0)</f>
        <v>30.196768244926769</v>
      </c>
      <c r="AA61" s="347">
        <f t="shared" si="19"/>
        <v>420.30616176011978</v>
      </c>
      <c r="AB61" s="347">
        <f>MAX($M61*('NC Reach Code Impacts'!W28-SUM(AB$36:AB60))/'NC Reach Code Impacts'!$D28,0)</f>
        <v>16.560857431933421</v>
      </c>
      <c r="AC61" s="347">
        <f>MAX($M61*('NC Reach Code Impacts'!X28-SUM(AC$36:AC60))/'NC Reach Code Impacts'!$D28,0)</f>
        <v>15.533827513673975</v>
      </c>
      <c r="AD61" s="347">
        <f>MAX($M61*('NC Reach Code Impacts'!Y28-SUM(AD$36:AD60))/'NC Reach Code Impacts'!$D28,0)</f>
        <v>2.1358821627035902</v>
      </c>
      <c r="AE61" s="347">
        <f t="shared" si="20"/>
        <v>442.4275386948629</v>
      </c>
      <c r="AF61" s="344">
        <f>'NC Reach Code Impacts'!M28</f>
        <v>230740.24874523794</v>
      </c>
      <c r="AG61" s="344">
        <f>'NC Reach Code Impacts'!N28</f>
        <v>341538.82865930127</v>
      </c>
      <c r="AH61" s="344">
        <f>'NC Reach Code Impacts'!O28</f>
        <v>0</v>
      </c>
      <c r="AI61" s="344">
        <f>'NC Reach Code Impacts'!P28+SUM(Q$36:Q61)</f>
        <v>129325.89159476687</v>
      </c>
      <c r="AJ61" s="344">
        <f>'NC Reach Code Impacts'!Q28+SUM(R$36:R61)</f>
        <v>124229.65539080548</v>
      </c>
      <c r="AK61" s="344">
        <f>'NC Reach Code Impacts'!R28+SUM(S$36:S61)</f>
        <v>78554.652414181051</v>
      </c>
      <c r="AL61" s="344">
        <f>'NC Reach Code Impacts'!S28</f>
        <v>40022.26967274848</v>
      </c>
      <c r="AM61" s="348">
        <f>MAX('NC Reach Code Impacts'!T28+SUM(N$36:N61),0)</f>
        <v>81742.25519590202</v>
      </c>
      <c r="AN61" s="348">
        <f>MAX('NC Reach Code Impacts'!U28+SUM(O$36:O61),0)</f>
        <v>30638.16153148657</v>
      </c>
      <c r="AO61" s="348">
        <f>MAX('NC Reach Code Impacts'!V28+SUM(P$36:P61),0)</f>
        <v>412365.31024065067</v>
      </c>
      <c r="AP61" s="348">
        <f>'NC Reach Code Impacts'!W28</f>
        <v>17736.549984424288</v>
      </c>
      <c r="AQ61" s="348">
        <f>'NC Reach Code Impacts'!X28</f>
        <v>16636.608900118896</v>
      </c>
      <c r="AR61" s="348">
        <f>'NC Reach Code Impacts'!Y28</f>
        <v>2617.1256270954909</v>
      </c>
      <c r="AS61" s="348">
        <f>'NC Reach Code Impacts'!Z28</f>
        <v>413326.49855931586</v>
      </c>
      <c r="AT61" s="349">
        <f>MAX(AM61-SUM(Y$36:Y61),0)</f>
        <v>74357.08595613834</v>
      </c>
      <c r="AU61" s="349">
        <f>MAX(AN61-SUM(Z$36:Z61),0)</f>
        <v>24832.349825172678</v>
      </c>
      <c r="AV61" s="349">
        <f>MAX(AO61-SUM(AA$36:AA61),0)</f>
        <v>394102.73218601145</v>
      </c>
      <c r="AW61" s="349">
        <f>MAX(AP61-SUM(AB$36:AB61),0)</f>
        <v>15454.992372897203</v>
      </c>
      <c r="AX61" s="349">
        <f>MAX(AQ61-SUM(AC$36:AC61),0)</f>
        <v>14496.543233492715</v>
      </c>
      <c r="AY61" s="349">
        <f>MAX(AR61-SUM(AD$36:AD61),0)</f>
        <v>1993.2568509610896</v>
      </c>
      <c r="AZ61" s="349">
        <f>MAX(AS61-SUM(AE$36:AE61),0)</f>
        <v>394102.73218601145</v>
      </c>
      <c r="BA61" s="344">
        <f t="shared" si="9"/>
        <v>-5687.0901131412875</v>
      </c>
      <c r="BB61" s="344">
        <f t="shared" si="10"/>
        <v>-393521.92858049116</v>
      </c>
      <c r="BC61" s="344">
        <f>U61*'Appliance Stock Profile'!$B$21+V61*'Appliance Stock Profile'!$B$20+W61*'Appliance Stock Profile'!$C$21+X61*'Appliance Stock Profile'!$C$20+P61*'Appliance Stock Profile'!$D$20</f>
        <v>-2931.8283404486556</v>
      </c>
      <c r="BD61" s="344">
        <f t="shared" si="11"/>
        <v>14383.52230188021</v>
      </c>
      <c r="BE61" s="344">
        <f>GasEmissions*(BA61+BC61)+'stock-flow model'!$B27*(BB61+BD61)/1000</f>
        <v>-45.680267804026705</v>
      </c>
      <c r="BF61" s="344">
        <f>GasEmissions*(SUM($BA$36:$BA61)+SUM($BC$36:$BC61))+'stock-flow model'!$B27*(SUM($BB$36:$BB61)+SUM($BD$36:$BD61))/1000</f>
        <v>-4791.5167168563012</v>
      </c>
      <c r="BG61" s="343">
        <f>'NC Reach Code Impacts'!AC28+BF61</f>
        <v>720673.99610863032</v>
      </c>
      <c r="BH61" s="344">
        <f t="shared" si="12"/>
        <v>306286.32665287313</v>
      </c>
      <c r="BI61" s="344">
        <f t="shared" si="13"/>
        <v>6196.1772882667865</v>
      </c>
      <c r="BJ61" s="344">
        <f t="shared" si="14"/>
        <v>412365.31024065067</v>
      </c>
      <c r="BK61" s="347">
        <f>'NC Reach Code Impacts'!E28-SUM(P$36:P61)</f>
        <v>40983.457991413699</v>
      </c>
      <c r="BL61" s="350">
        <f t="shared" si="15"/>
        <v>394102.73218601145</v>
      </c>
      <c r="BM61" s="36">
        <f t="shared" si="21"/>
        <v>-45.680267804026698</v>
      </c>
      <c r="BN61" s="36">
        <f t="shared" si="23"/>
        <v>-4791.5167168563012</v>
      </c>
      <c r="BO61" s="36">
        <f t="shared" si="24"/>
        <v>0</v>
      </c>
    </row>
    <row r="62" spans="1:67" hidden="1" x14ac:dyDescent="0.3">
      <c r="B62" s="272"/>
      <c r="C62" s="272" t="s">
        <v>165</v>
      </c>
      <c r="D62" s="272"/>
      <c r="E62" s="272"/>
      <c r="F62" s="272"/>
      <c r="G62" s="272"/>
      <c r="H62" s="272"/>
      <c r="I62" s="272"/>
      <c r="J62" s="272"/>
      <c r="K62" s="272"/>
      <c r="L62" s="272"/>
      <c r="M62" s="272"/>
      <c r="N62" s="272"/>
      <c r="O62" s="272"/>
      <c r="P62" s="272"/>
      <c r="Q62" s="272" t="s">
        <v>166</v>
      </c>
      <c r="R62" s="272" t="s">
        <v>167</v>
      </c>
      <c r="S62" s="272" t="s">
        <v>167</v>
      </c>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BA62" s="272"/>
      <c r="BB62" s="272"/>
      <c r="BC62" s="272"/>
      <c r="BD62" s="272"/>
      <c r="BE62" s="272"/>
      <c r="BF62" s="344">
        <f>GasEmissions*(SUM($BA$36:$BA62))+'stock-flow model'!$B28*(SUM($BD$36:$BD62))/1000</f>
        <v>-2987.1774944625467</v>
      </c>
      <c r="BG62" s="272"/>
      <c r="BH62" s="272"/>
      <c r="BI62" s="272"/>
      <c r="BJ62" s="272"/>
      <c r="BK62" s="272"/>
      <c r="BL62" s="272"/>
    </row>
    <row r="63" spans="1:67" hidden="1" x14ac:dyDescent="0.3">
      <c r="F63" s="351">
        <f>SUM(F36:F62)</f>
        <v>0</v>
      </c>
      <c r="G63" s="351">
        <f>SUM(G36:G62)</f>
        <v>218350.49799810303</v>
      </c>
      <c r="H63" s="351">
        <f t="shared" ref="H63:Q63" si="25">SUM(H36:H62)</f>
        <v>0</v>
      </c>
      <c r="I63" s="351">
        <f t="shared" si="25"/>
        <v>0</v>
      </c>
      <c r="J63" s="351">
        <f t="shared" si="25"/>
        <v>192237.66373304412</v>
      </c>
      <c r="K63" s="351">
        <f t="shared" si="25"/>
        <v>0</v>
      </c>
      <c r="L63" s="351">
        <f t="shared" si="25"/>
        <v>192237.66373304412</v>
      </c>
      <c r="M63" s="351">
        <f t="shared" si="25"/>
        <v>19223.766373304417</v>
      </c>
      <c r="N63" s="351">
        <f t="shared" si="25"/>
        <v>-818.9819668214484</v>
      </c>
      <c r="O63" s="351">
        <f t="shared" si="25"/>
        <v>-643.51150971514869</v>
      </c>
      <c r="P63" s="351">
        <f t="shared" si="25"/>
        <v>-961.18831866522078</v>
      </c>
      <c r="Q63" s="351">
        <f t="shared" si="25"/>
        <v>401.93527813918945</v>
      </c>
      <c r="R63" s="351">
        <f t="shared" ref="R63:AE63" si="26">SUM(R36:R62)</f>
        <v>818.9819668214484</v>
      </c>
      <c r="S63" s="351">
        <f>SUM(S36:S62)</f>
        <v>643.51150971514869</v>
      </c>
      <c r="T63" s="351">
        <f t="shared" ref="T63:X63" si="27">SUM(T36:T62)</f>
        <v>0</v>
      </c>
      <c r="U63" s="351">
        <f t="shared" si="27"/>
        <v>-310.80974162099903</v>
      </c>
      <c r="V63" s="351">
        <f t="shared" si="27"/>
        <v>-508.17222520044891</v>
      </c>
      <c r="W63" s="351">
        <f t="shared" si="27"/>
        <v>-330.78444661966091</v>
      </c>
      <c r="X63" s="351">
        <f t="shared" si="27"/>
        <v>-312.72706309548772</v>
      </c>
      <c r="Y63" s="351">
        <f t="shared" si="26"/>
        <v>7385.1692397636843</v>
      </c>
      <c r="Z63" s="351">
        <f t="shared" si="26"/>
        <v>5805.8117063138943</v>
      </c>
      <c r="AA63" s="351">
        <f t="shared" si="26"/>
        <v>18262.578054639194</v>
      </c>
      <c r="AB63" s="351">
        <f t="shared" si="26"/>
        <v>2281.5576115270856</v>
      </c>
      <c r="AC63" s="351">
        <f t="shared" si="26"/>
        <v>2140.0656666261802</v>
      </c>
      <c r="AD63" s="351">
        <f t="shared" si="26"/>
        <v>623.86877613440117</v>
      </c>
      <c r="AE63" s="351">
        <f t="shared" si="26"/>
        <v>19223.766373304417</v>
      </c>
      <c r="AF63" s="352">
        <v>19094.131411001792</v>
      </c>
      <c r="AG63" s="352">
        <v>25633.028482511152</v>
      </c>
      <c r="AH63" s="352">
        <v>894.55227119297854</v>
      </c>
      <c r="AI63" s="352">
        <v>12175.672534397419</v>
      </c>
      <c r="AJ63" s="352">
        <v>5215.0786271880934</v>
      </c>
      <c r="AK63" s="352">
        <v>3730.2657240580083</v>
      </c>
      <c r="AL63" s="352">
        <v>894.55227119297854</v>
      </c>
      <c r="AM63" s="353">
        <v>6574.4355437941194</v>
      </c>
      <c r="AN63" s="353">
        <v>2276.0328567159268</v>
      </c>
      <c r="AO63" s="353">
        <v>30994.725913781462</v>
      </c>
      <c r="AP63" s="353">
        <v>2250.6676867688329</v>
      </c>
      <c r="AQ63" s="353">
        <v>1005.6326029904358</v>
      </c>
      <c r="AR63" s="353">
        <v>249.95112168935157</v>
      </c>
      <c r="AS63" s="353">
        <v>30994.725913781462</v>
      </c>
      <c r="BA63" s="351">
        <f>SUM(BA36:BA62)</f>
        <v>-563618.39518161258</v>
      </c>
      <c r="BB63" s="351">
        <f>SUM(BB36:BB62)</f>
        <v>-17742507.045883264</v>
      </c>
      <c r="BC63" s="351">
        <f>SUM(BC36:BC62)</f>
        <v>-340441.36271580274</v>
      </c>
      <c r="BD63" s="351">
        <f>SUM(BD36:BD62)</f>
        <v>1672816.5249107301</v>
      </c>
      <c r="BJ63" s="354"/>
      <c r="BK63" s="354"/>
    </row>
    <row r="64" spans="1:67" hidden="1" x14ac:dyDescent="0.3">
      <c r="B64" s="257">
        <v>2030</v>
      </c>
    </row>
    <row r="65" spans="5:5" hidden="1" x14ac:dyDescent="0.3"/>
    <row r="69" spans="5:5" x14ac:dyDescent="0.3">
      <c r="E69" s="354"/>
    </row>
  </sheetData>
  <mergeCells count="9">
    <mergeCell ref="L34:V34"/>
    <mergeCell ref="AR34:AX34"/>
    <mergeCell ref="B1:C1"/>
    <mergeCell ref="B2:C2"/>
    <mergeCell ref="B13:C13"/>
    <mergeCell ref="W34:AC34"/>
    <mergeCell ref="AD34:AJ34"/>
    <mergeCell ref="AK34:AQ34"/>
    <mergeCell ref="B3:E3"/>
  </mergeCells>
  <dataValidations count="1">
    <dataValidation showInputMessage="1" showErrorMessage="1" sqref="C12" xr:uid="{8B479906-EE48-41E2-AFA0-8DBE886F70DD}"/>
  </dataValidations>
  <hyperlinks>
    <hyperlink ref="B2:C2" location="'Policy Impact Dashboard'!A1" display="Back to Policy Impact Dashboard" xr:uid="{6786B7C7-9B6F-4069-86E8-2AAF6AEF463C}"/>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3FE29F0-965D-4BD9-9E7A-399676A4C94D}">
          <x14:formula1>
            <xm:f>lists!$E$2:$E$6</xm:f>
          </x14:formula1>
          <xm:sqref>C5</xm:sqref>
        </x14:dataValidation>
        <x14:dataValidation type="list" allowBlank="1" showInputMessage="1" showErrorMessage="1" xr:uid="{CC090301-1BDA-4E41-842D-831C54562E0A}">
          <x14:formula1>
            <xm:f>lists!$F$2:$F$3</xm:f>
          </x14:formula1>
          <xm:sqref>C8</xm:sqref>
        </x14:dataValidation>
        <x14:dataValidation type="list" allowBlank="1" showInputMessage="1" showErrorMessage="1" xr:uid="{6ACAA1CA-CDA4-48A7-984A-50AC773A79E6}">
          <x14:formula1>
            <xm:f>lists!$H$2:$H$3</xm:f>
          </x14:formula1>
          <xm:sqref>C9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35BDF-0251-4FD1-A61C-A337EA597BC3}">
  <sheetPr codeName="Sheet10"/>
  <dimension ref="A1:BD55"/>
  <sheetViews>
    <sheetView zoomScale="90" zoomScaleNormal="90" workbookViewId="0">
      <selection activeCell="F14" sqref="F14"/>
    </sheetView>
  </sheetViews>
  <sheetFormatPr defaultRowHeight="14.4" x14ac:dyDescent="0.3"/>
  <cols>
    <col min="1" max="1" width="3.6640625" style="257" customWidth="1"/>
    <col min="2" max="2" width="56.88671875" style="257" customWidth="1"/>
    <col min="3" max="3" width="19.6640625" style="257" customWidth="1"/>
    <col min="4" max="4" width="12.5546875" style="257" customWidth="1"/>
    <col min="5" max="5" width="16.109375" style="257" customWidth="1"/>
    <col min="6" max="6" width="14.77734375" style="257" customWidth="1"/>
    <col min="7" max="7" width="11.5546875" style="257" customWidth="1"/>
    <col min="8" max="10" width="14.44140625" style="257" customWidth="1"/>
    <col min="11" max="11" width="13.6640625" style="257" customWidth="1"/>
    <col min="12" max="12" width="11.5546875" style="257" customWidth="1"/>
    <col min="13" max="13" width="13.6640625" style="257" customWidth="1"/>
    <col min="14" max="14" width="11.5546875" style="257" customWidth="1"/>
    <col min="15" max="15" width="14.44140625" style="257" customWidth="1"/>
    <col min="16" max="16" width="13.6640625" style="257" customWidth="1"/>
    <col min="17" max="17" width="13.33203125" style="257" bestFit="1" customWidth="1"/>
    <col min="18" max="23" width="14.44140625" style="257" customWidth="1"/>
    <col min="24" max="30" width="10" style="257" customWidth="1"/>
    <col min="31" max="33" width="9.44140625" style="257" bestFit="1" customWidth="1"/>
    <col min="34" max="34" width="9.44140625" style="257" customWidth="1"/>
    <col min="35" max="37" width="9.44140625" style="257" bestFit="1" customWidth="1"/>
    <col min="38" max="39" width="8.88671875" style="257"/>
    <col min="40" max="40" width="9.44140625" style="257" bestFit="1" customWidth="1"/>
    <col min="41" max="43" width="8.88671875" style="257"/>
    <col min="44" max="44" width="9.44140625" style="257" bestFit="1" customWidth="1"/>
    <col min="45" max="45" width="12.5546875" style="257" customWidth="1"/>
    <col min="46" max="46" width="13.33203125" style="257" bestFit="1" customWidth="1"/>
    <col min="47" max="47" width="10.109375" style="257" customWidth="1"/>
    <col min="48" max="48" width="13.33203125" style="257" customWidth="1"/>
    <col min="49" max="49" width="10.109375" style="257" bestFit="1" customWidth="1"/>
    <col min="50" max="51" width="10" style="257" customWidth="1"/>
    <col min="52" max="54" width="8.88671875" style="257"/>
    <col min="55" max="56" width="10.109375" style="257" bestFit="1" customWidth="1"/>
    <col min="57" max="16384" width="8.88671875" style="257"/>
  </cols>
  <sheetData>
    <row r="1" spans="1:7" ht="18" x14ac:dyDescent="0.35">
      <c r="B1" s="584" t="str">
        <f>CONCATENATE("Time of Replacement Inputs for ",'Policy Impact Dashboard'!$B$5,", ",'Policy Impact Dashboard'!$B$4," County")</f>
        <v>Time of Replacement Inputs for z-All Alameda, Alameda County</v>
      </c>
      <c r="C1" s="584"/>
      <c r="E1" s="261"/>
      <c r="F1" s="256"/>
      <c r="G1" s="255"/>
    </row>
    <row r="2" spans="1:7" ht="25.2" customHeight="1" x14ac:dyDescent="0.3">
      <c r="B2" s="585" t="s">
        <v>134</v>
      </c>
      <c r="C2" s="585"/>
      <c r="E2" s="261"/>
      <c r="F2" s="255"/>
      <c r="G2" s="255"/>
    </row>
    <row r="3" spans="1:7" ht="157.80000000000001" customHeight="1" x14ac:dyDescent="0.3">
      <c r="A3" s="261"/>
      <c r="B3" s="603" t="s">
        <v>572</v>
      </c>
      <c r="C3" s="604"/>
      <c r="D3" s="260"/>
      <c r="E3" s="260"/>
      <c r="F3" s="364"/>
      <c r="G3" s="255"/>
    </row>
    <row r="4" spans="1:7" ht="13.2" customHeight="1" thickBot="1" x14ac:dyDescent="0.35">
      <c r="A4" s="261"/>
      <c r="B4" s="365"/>
      <c r="C4" s="365"/>
      <c r="D4" s="364"/>
      <c r="E4" s="364"/>
      <c r="F4" s="364"/>
      <c r="G4" s="255"/>
    </row>
    <row r="5" spans="1:7" ht="15" thickBot="1" x14ac:dyDescent="0.35">
      <c r="A5" s="261"/>
      <c r="B5" s="597" t="s">
        <v>442</v>
      </c>
      <c r="C5" s="598"/>
      <c r="D5" s="366"/>
      <c r="E5" s="367"/>
      <c r="F5" s="368"/>
    </row>
    <row r="6" spans="1:7" ht="15" thickBot="1" x14ac:dyDescent="0.35">
      <c r="A6" s="261"/>
      <c r="B6" s="369" t="s">
        <v>168</v>
      </c>
      <c r="C6" s="362"/>
      <c r="D6" s="366"/>
      <c r="E6" s="367"/>
      <c r="F6" s="368"/>
    </row>
    <row r="7" spans="1:7" ht="15" thickBot="1" x14ac:dyDescent="0.35">
      <c r="A7" s="261"/>
      <c r="B7" s="369" t="s">
        <v>516</v>
      </c>
      <c r="C7" s="362"/>
      <c r="D7" s="366"/>
      <c r="E7" s="367"/>
      <c r="F7" s="368"/>
    </row>
    <row r="8" spans="1:7" ht="15" thickBot="1" x14ac:dyDescent="0.35">
      <c r="A8" s="261"/>
      <c r="B8" s="369" t="s">
        <v>515</v>
      </c>
      <c r="C8" s="362"/>
      <c r="D8" s="366"/>
      <c r="E8" s="367"/>
      <c r="F8" s="368"/>
    </row>
    <row r="9" spans="1:7" ht="15" thickBot="1" x14ac:dyDescent="0.35">
      <c r="A9" s="261"/>
      <c r="B9" s="370" t="s">
        <v>508</v>
      </c>
      <c r="C9" s="363">
        <v>400</v>
      </c>
      <c r="D9" s="366"/>
      <c r="E9" s="367"/>
      <c r="F9" s="368"/>
    </row>
    <row r="10" spans="1:7" ht="15" thickBot="1" x14ac:dyDescent="0.35">
      <c r="B10" s="271"/>
      <c r="C10" s="271"/>
      <c r="D10" s="272"/>
      <c r="E10" s="272"/>
      <c r="F10" s="272"/>
    </row>
    <row r="11" spans="1:7" ht="15" thickBot="1" x14ac:dyDescent="0.35">
      <c r="A11" s="258"/>
      <c r="B11" s="371" t="s">
        <v>173</v>
      </c>
      <c r="C11" s="372" t="s">
        <v>59</v>
      </c>
      <c r="D11" s="373"/>
      <c r="E11" s="367"/>
      <c r="F11" s="368"/>
    </row>
    <row r="12" spans="1:7" ht="15" thickBot="1" x14ac:dyDescent="0.35">
      <c r="A12" s="261"/>
      <c r="B12" s="374" t="s">
        <v>174</v>
      </c>
      <c r="C12" s="375">
        <f>AVERAGE(G27:G52)</f>
        <v>26705.898816232635</v>
      </c>
      <c r="D12" s="373"/>
      <c r="E12" s="367"/>
      <c r="F12" s="368"/>
    </row>
    <row r="13" spans="1:7" ht="15" thickBot="1" x14ac:dyDescent="0.35">
      <c r="A13" s="261"/>
      <c r="B13" s="376" t="s">
        <v>506</v>
      </c>
      <c r="C13" s="377">
        <f>C12*ComplyEqptReplacemt*TrueReplacement</f>
        <v>24035.308934609373</v>
      </c>
      <c r="D13" s="373"/>
      <c r="E13" s="367"/>
      <c r="F13" s="368"/>
    </row>
    <row r="14" spans="1:7" ht="15" thickBot="1" x14ac:dyDescent="0.35">
      <c r="A14" s="261"/>
      <c r="B14" s="376" t="s">
        <v>507</v>
      </c>
      <c r="C14" s="378">
        <f>C13*$C$9</f>
        <v>9614123.5738437492</v>
      </c>
      <c r="D14" s="261"/>
    </row>
    <row r="15" spans="1:7" ht="28.8" x14ac:dyDescent="0.3">
      <c r="A15" s="258"/>
      <c r="B15" s="379" t="s">
        <v>465</v>
      </c>
      <c r="C15" s="380" t="s">
        <v>455</v>
      </c>
      <c r="D15" s="605" t="s">
        <v>562</v>
      </c>
      <c r="E15" s="606"/>
    </row>
    <row r="16" spans="1:7" x14ac:dyDescent="0.3">
      <c r="A16" s="261"/>
      <c r="B16" s="381" t="s">
        <v>178</v>
      </c>
      <c r="C16" s="377">
        <f>IFERROR(1000*C20/AVERAGEIF($A$27:$A$52,"&gt;0",$H$27:$H$52),0)</f>
        <v>-1091.47236252174</v>
      </c>
      <c r="D16" s="607"/>
      <c r="E16" s="608"/>
    </row>
    <row r="17" spans="1:56" x14ac:dyDescent="0.3">
      <c r="A17" s="261"/>
      <c r="B17" s="381" t="s">
        <v>179</v>
      </c>
      <c r="C17" s="377">
        <f>IFERROR(1000*C21/AVERAGEIF($A$27:$A$52,"&gt;0",$H$27:$H$52),0)</f>
        <v>199.12115694467076</v>
      </c>
      <c r="D17" s="607"/>
      <c r="E17" s="608"/>
    </row>
    <row r="18" spans="1:56" x14ac:dyDescent="0.3">
      <c r="A18" s="261"/>
      <c r="B18" s="382" t="s">
        <v>456</v>
      </c>
      <c r="C18" s="383">
        <f>IFERROR(C22/AVERAGEIF($A$27:A$52,"&gt;0",$H$27:$H$52),0)</f>
        <v>1.0405648939218131</v>
      </c>
      <c r="D18" s="607"/>
      <c r="E18" s="608"/>
    </row>
    <row r="19" spans="1:56" x14ac:dyDescent="0.3">
      <c r="A19" s="258"/>
      <c r="B19" s="384" t="s">
        <v>152</v>
      </c>
      <c r="C19" s="385"/>
      <c r="D19" s="607"/>
      <c r="E19" s="608"/>
    </row>
    <row r="20" spans="1:56" x14ac:dyDescent="0.3">
      <c r="A20" s="261"/>
      <c r="B20" s="381" t="s">
        <v>153</v>
      </c>
      <c r="C20" s="386">
        <f>IFERROR(-IF(TrueReplacement,((SUMIF($A$27:$A$52,"&gt;0",$AT$27:$AT$52))/COUNTIF($A$27:$A$52,"&gt;0"))/1000,0)*(ComplyEqptReplacemt-MIN(ComplyEqptReplacemt,BaseEqptReplacement))/ComplyEqptReplacemt,0)</f>
        <v>-24328.918953669632</v>
      </c>
      <c r="D20" s="607"/>
      <c r="E20" s="608"/>
    </row>
    <row r="21" spans="1:56" x14ac:dyDescent="0.3">
      <c r="A21" s="261"/>
      <c r="B21" s="381" t="s">
        <v>154</v>
      </c>
      <c r="C21" s="377">
        <f>IFERROR(-IF(TrueReplacement,(SUMIF($A$27:$A$52,"&gt;0",$AS$27:$AS$52)/COUNTIF($A$27:$A$52,"&gt;0"))/1000,0)*(ComplyEqptReplacemt-MIN(ComplyEqptReplacemt,BaseEqptReplacement))/ComplyEqptReplacemt,0)</f>
        <v>4438.4105870306312</v>
      </c>
      <c r="D21" s="607"/>
      <c r="E21" s="608"/>
    </row>
    <row r="22" spans="1:56" ht="15" thickBot="1" x14ac:dyDescent="0.35">
      <c r="A22" s="261"/>
      <c r="B22" s="387" t="s">
        <v>155</v>
      </c>
      <c r="C22" s="388">
        <f>IFERROR(-IF(TrueReplacement,SUMIF($A$27:$A$52,"&gt;0",$AU$27:$AU$52)/COUNTIF($A$27:$A$52,"&gt;0"),0)*(ComplyEqptReplacemt-MIN(ComplyEqptReplacemt,BaseEqptReplacement))/ComplyEqptReplacemt,0)</f>
        <v>23194.19147890095</v>
      </c>
      <c r="D22" s="609"/>
      <c r="E22" s="610"/>
    </row>
    <row r="23" spans="1:56" x14ac:dyDescent="0.3">
      <c r="B23" s="272"/>
      <c r="C23" s="272"/>
    </row>
    <row r="24" spans="1:56" x14ac:dyDescent="0.3">
      <c r="B24" s="389"/>
      <c r="C24" s="389"/>
      <c r="G24" s="389"/>
      <c r="H24" s="389"/>
      <c r="I24" s="389"/>
      <c r="J24" s="389"/>
      <c r="K24" s="390"/>
      <c r="L24" s="390"/>
      <c r="M24" s="390"/>
      <c r="N24" s="390"/>
      <c r="O24" s="331"/>
      <c r="P24" s="331"/>
      <c r="Q24" s="331"/>
      <c r="R24" s="390"/>
      <c r="S24" s="390"/>
      <c r="T24" s="390"/>
      <c r="U24" s="390"/>
      <c r="V24" s="390"/>
      <c r="W24" s="390"/>
      <c r="X24" s="331"/>
      <c r="Y24" s="331"/>
      <c r="Z24" s="331"/>
      <c r="AA24" s="331"/>
      <c r="AB24" s="331"/>
      <c r="AC24" s="331"/>
      <c r="AD24" s="331"/>
      <c r="AE24" s="331"/>
      <c r="AF24" s="331"/>
      <c r="AG24" s="331"/>
      <c r="AH24" s="331"/>
      <c r="AI24" s="331"/>
      <c r="AJ24" s="331"/>
      <c r="AK24" s="331"/>
      <c r="AS24" s="331"/>
      <c r="AT24" s="331"/>
      <c r="AU24" s="331"/>
      <c r="AV24" s="331"/>
      <c r="AW24" s="331"/>
      <c r="AX24" s="331"/>
      <c r="AY24" s="331"/>
    </row>
    <row r="25" spans="1:56" hidden="1" x14ac:dyDescent="0.3">
      <c r="A25" s="332"/>
      <c r="B25" s="332"/>
      <c r="C25" s="332"/>
      <c r="D25" s="332"/>
      <c r="E25" s="332"/>
      <c r="F25" s="332"/>
      <c r="G25" s="332"/>
      <c r="H25" s="332"/>
      <c r="I25" s="588" t="s">
        <v>181</v>
      </c>
      <c r="J25" s="589"/>
      <c r="K25" s="589"/>
      <c r="L25" s="589"/>
      <c r="M25" s="589"/>
      <c r="N25" s="589"/>
      <c r="O25" s="589"/>
      <c r="P25" s="589"/>
      <c r="Q25" s="589"/>
      <c r="R25" s="589"/>
      <c r="S25" s="589"/>
      <c r="T25" s="589"/>
      <c r="U25" s="590"/>
      <c r="V25" s="332"/>
      <c r="W25" s="332"/>
      <c r="X25" s="599" t="s">
        <v>530</v>
      </c>
      <c r="Y25" s="600"/>
      <c r="Z25" s="600"/>
      <c r="AA25" s="600"/>
      <c r="AB25" s="600"/>
      <c r="AC25" s="600"/>
      <c r="AD25" s="600"/>
      <c r="AE25" s="601" t="s">
        <v>531</v>
      </c>
      <c r="AF25" s="601"/>
      <c r="AG25" s="601"/>
      <c r="AH25" s="601"/>
      <c r="AI25" s="601"/>
      <c r="AJ25" s="601"/>
      <c r="AK25" s="602"/>
      <c r="AL25" s="581" t="s">
        <v>537</v>
      </c>
      <c r="AM25" s="582"/>
      <c r="AN25" s="582"/>
      <c r="AO25" s="582"/>
      <c r="AP25" s="582"/>
      <c r="AQ25" s="582"/>
      <c r="AR25" s="583"/>
      <c r="AS25" s="332"/>
      <c r="AT25" s="332"/>
      <c r="AU25" s="332"/>
      <c r="AV25" s="333"/>
      <c r="AW25" s="332"/>
      <c r="AX25" s="333"/>
      <c r="AY25" s="333"/>
    </row>
    <row r="26" spans="1:56" ht="72" hidden="1" x14ac:dyDescent="0.3">
      <c r="B26" s="336" t="s">
        <v>110</v>
      </c>
      <c r="C26" s="336" t="s">
        <v>121</v>
      </c>
      <c r="D26" s="336" t="s">
        <v>439</v>
      </c>
      <c r="E26" s="336" t="s">
        <v>441</v>
      </c>
      <c r="F26" s="336" t="s">
        <v>440</v>
      </c>
      <c r="G26" s="336" t="s">
        <v>182</v>
      </c>
      <c r="H26" s="336" t="s">
        <v>183</v>
      </c>
      <c r="I26" s="339" t="s">
        <v>598</v>
      </c>
      <c r="J26" s="339" t="s">
        <v>599</v>
      </c>
      <c r="K26" s="339" t="s">
        <v>443</v>
      </c>
      <c r="L26" s="339" t="s">
        <v>113</v>
      </c>
      <c r="M26" s="339" t="s">
        <v>114</v>
      </c>
      <c r="N26" s="339" t="s">
        <v>115</v>
      </c>
      <c r="O26" s="339" t="s">
        <v>116</v>
      </c>
      <c r="P26" s="339" t="s">
        <v>117</v>
      </c>
      <c r="Q26" s="339" t="s">
        <v>118</v>
      </c>
      <c r="R26" s="339" t="s">
        <v>594</v>
      </c>
      <c r="S26" s="339" t="s">
        <v>595</v>
      </c>
      <c r="T26" s="339" t="s">
        <v>596</v>
      </c>
      <c r="U26" s="339" t="s">
        <v>597</v>
      </c>
      <c r="V26" s="337" t="s">
        <v>555</v>
      </c>
      <c r="W26" s="337" t="s">
        <v>556</v>
      </c>
      <c r="X26" s="391" t="s">
        <v>486</v>
      </c>
      <c r="Y26" s="391" t="s">
        <v>487</v>
      </c>
      <c r="Z26" s="391" t="s">
        <v>488</v>
      </c>
      <c r="AA26" s="391" t="s">
        <v>489</v>
      </c>
      <c r="AB26" s="391" t="s">
        <v>490</v>
      </c>
      <c r="AC26" s="391" t="s">
        <v>491</v>
      </c>
      <c r="AD26" s="391" t="s">
        <v>492</v>
      </c>
      <c r="AE26" s="392" t="s">
        <v>493</v>
      </c>
      <c r="AF26" s="392" t="s">
        <v>494</v>
      </c>
      <c r="AG26" s="392" t="s">
        <v>495</v>
      </c>
      <c r="AH26" s="392" t="s">
        <v>496</v>
      </c>
      <c r="AI26" s="392" t="s">
        <v>497</v>
      </c>
      <c r="AJ26" s="392" t="s">
        <v>498</v>
      </c>
      <c r="AK26" s="392" t="s">
        <v>499</v>
      </c>
      <c r="AL26" s="339" t="s">
        <v>477</v>
      </c>
      <c r="AM26" s="339" t="s">
        <v>478</v>
      </c>
      <c r="AN26" s="339" t="s">
        <v>479</v>
      </c>
      <c r="AO26" s="339" t="s">
        <v>480</v>
      </c>
      <c r="AP26" s="339" t="s">
        <v>481</v>
      </c>
      <c r="AQ26" s="339" t="s">
        <v>482</v>
      </c>
      <c r="AR26" s="339" t="s">
        <v>483</v>
      </c>
      <c r="AS26" s="336" t="s">
        <v>161</v>
      </c>
      <c r="AT26" s="336" t="s">
        <v>162</v>
      </c>
      <c r="AU26" s="336" t="s">
        <v>119</v>
      </c>
      <c r="AV26" s="336" t="s">
        <v>120</v>
      </c>
      <c r="AW26" s="336" t="s">
        <v>122</v>
      </c>
      <c r="AX26" s="336" t="s">
        <v>121</v>
      </c>
      <c r="AY26" s="336" t="s">
        <v>251</v>
      </c>
      <c r="AZ26" s="337" t="s">
        <v>163</v>
      </c>
      <c r="BA26" s="337" t="s">
        <v>164</v>
      </c>
      <c r="BB26" s="209" t="s">
        <v>620</v>
      </c>
      <c r="BC26" s="83" t="s">
        <v>619</v>
      </c>
      <c r="BD26" s="83" t="s">
        <v>618</v>
      </c>
    </row>
    <row r="27" spans="1:56" hidden="1" x14ac:dyDescent="0.3">
      <c r="A27" s="257">
        <f t="shared" ref="A27:A52" si="0">(B27&gt;=StartEqptReplacemt)*1</f>
        <v>0</v>
      </c>
      <c r="B27" s="393">
        <v>2020</v>
      </c>
      <c r="C27" s="344">
        <f>'2-energy assessment'!BJ36</f>
        <v>413326.49855931586</v>
      </c>
      <c r="D27" s="344">
        <f>'2-energy assessment'!BH36*FurnaceReplaceRate*TrueReplaceFurnace</f>
        <v>15334.413096550619</v>
      </c>
      <c r="E27" s="344">
        <f>'2-energy assessment'!BI36*TrueReplaceFurnace*(FurnaceReplaceRate+('Appliance Stock Profile'!$H$16-FurnaceReplaceRate)*TrueReplaceFurnaceAC)</f>
        <v>749.49871738756212</v>
      </c>
      <c r="F27" s="344">
        <f>('2-energy assessment'!AG36+'2-energy assessment'!AN36)*DHWReplaceRate*TrueReplaceDHW</f>
        <v>33892.772881863901</v>
      </c>
      <c r="G27" s="344">
        <f t="shared" ref="G27:G52" si="1">D27+F27+E27</f>
        <v>49976.684695802083</v>
      </c>
      <c r="H27" s="207">
        <f t="shared" ref="H27:H52" si="2">$G27*(MIN(BaseEqptReplacement,ComplyEqptReplacemt)+((ComplyEqptReplacemt-MIN(BaseEqptReplacement,ComplyEqptReplacemt))*($B27&gt;=StartEqptReplacemt)*($B27&gt;=StartCodeCompliance)+(MAX(BaseCode,MIN(BaseEqptReplacement,ComplyEqptReplacemt))-MIN(BaseEqptReplacement,ComplyEqptReplacemt))*($B27&gt;=StartEqptReplacemt)*($B27&lt;StartCodeCompliance))*TrueReplacement)</f>
        <v>0</v>
      </c>
      <c r="I27" s="347">
        <f t="shared" ref="I27:I52" si="3">-TrueReplaceFurnace*$D27*(MIN(BaseEqptReplacement,ComplyEqptReplacemt)+((ComplyEqptReplacemt-MIN(BaseEqptReplacement,ComplyEqptReplacemt))*($B27&gt;=StartEqptReplacemt)*($B27&gt;=StartCodeCompliance)+(MAX(BaseCode,MIN(BaseEqptReplacement,ComplyEqptReplacemt))-MIN(BaseEqptReplacement,ComplyEqptReplacemt))*($B27&gt;=StartEqptReplacemt)*($B27&lt;StartCodeCompliance))*TrueReplacement)</f>
        <v>0</v>
      </c>
      <c r="J27" s="347">
        <f t="shared" ref="J27:J52" si="4">-TrueReplaceFurnace*$E27*(MIN(BaseEqptReplacement,ComplyEqptReplacemt)+((ComplyEqptReplacemt-MIN(BaseEqptReplacement,ComplyEqptReplacemt))*($B27&gt;=StartEqptReplacemt)*($B27&gt;=StartCodeCompliance)+(MAX(BaseCode,MIN(BaseEqptReplacement,ComplyEqptReplacemt))-MIN(BaseEqptReplacement,ComplyEqptReplacemt))*($B27&gt;=StartEqptReplacemt)*($B27&lt;StartCodeCompliance))*TrueReplacement)</f>
        <v>0</v>
      </c>
      <c r="K27" s="347">
        <f t="shared" ref="K27:K52" si="5">I27+J27</f>
        <v>0</v>
      </c>
      <c r="L27" s="347">
        <f t="shared" ref="L27:L52" si="6">-TrueReplaceDHW*$F27*(MIN(BaseEqptReplacement,ComplyEqptReplacemt)+((ComplyEqptReplacemt-MIN(BaseEqptReplacement,ComplyEqptReplacemt))*($B27&gt;=StartEqptReplacemt)*($B27&gt;=StartCodeCompliance)+(MAX(BaseCode,MIN(BaseEqptReplacement,ComplyEqptReplacemt))-MIN(BaseEqptReplacement,ComplyEqptReplacemt))*($B27&gt;=StartEqptReplacemt)*($B27&lt;StartCodeCompliance))*TrueReplacement)</f>
        <v>0</v>
      </c>
      <c r="M27" s="347"/>
      <c r="N27" s="347">
        <f t="shared" ref="N27:N52" si="7">-I27</f>
        <v>0</v>
      </c>
      <c r="O27" s="347">
        <f t="shared" ref="O27:O52" si="8">-K27</f>
        <v>0</v>
      </c>
      <c r="P27" s="347">
        <f t="shared" ref="P27:P52" si="9">-L27</f>
        <v>0</v>
      </c>
      <c r="Q27" s="263"/>
      <c r="R27" s="347">
        <f>$K27*'2-energy assessment'!$AF36/('2-energy assessment'!$AM36+'2-energy assessment'!$AF36)</f>
        <v>0</v>
      </c>
      <c r="S27" s="347">
        <f>$K27*'2-energy assessment'!$AM36/('2-energy assessment'!$AM36+'2-energy assessment'!$AF36)</f>
        <v>0</v>
      </c>
      <c r="T27" s="347">
        <f>$L27*'2-energy assessment'!$AG36/('2-energy assessment'!$AN36+'2-energy assessment'!$AG36)</f>
        <v>0</v>
      </c>
      <c r="U27" s="347">
        <f>$L27*'2-energy assessment'!$AN36/('2-energy assessment'!$AN36+'2-energy assessment'!$AG36)</f>
        <v>0</v>
      </c>
      <c r="V27" s="344">
        <f>'2-energy assessment'!AM36+'2-energy assessment'!AF36+SUM(K$27:K27)</f>
        <v>313301.48590796144</v>
      </c>
      <c r="W27" s="344">
        <f>SUM(L$27:L27)+'2-energy assessment'!AG36+'2-energy assessment'!AN36</f>
        <v>372820.50170050294</v>
      </c>
      <c r="X27" s="394">
        <f>MAX('2-energy assessment'!AF36+SUM(R$27:R27),0)</f>
        <v>15665.074295398073</v>
      </c>
      <c r="Y27" s="394">
        <f>MAX('2-energy assessment'!AG36+SUM(T$27:T27),0)</f>
        <v>33892.772881863901</v>
      </c>
      <c r="Z27" s="395">
        <f>'2-energy assessment'!AH36</f>
        <v>0</v>
      </c>
      <c r="AA27" s="395">
        <f>'2-energy assessment'!AI36+SUM(N$27:N27)</f>
        <v>7109.2157752202329</v>
      </c>
      <c r="AB27" s="395">
        <f>'2-energy assessment'!AJ36+SUM(O$27:O27)</f>
        <v>6668.3341767569618</v>
      </c>
      <c r="AC27" s="395">
        <f>'2-energy assessment'!$AK36+SUM($P$27:$P27)</f>
        <v>4050.5996858812928</v>
      </c>
      <c r="AD27" s="395">
        <f>'2-energy assessment'!$AL36+SUM($Q$27:$Q27)</f>
        <v>0</v>
      </c>
      <c r="AE27" s="396">
        <f>MAX('2-energy assessment'!AM36+SUM(S$27:S27),0)</f>
        <v>297636.41161256336</v>
      </c>
      <c r="AF27" s="396">
        <f>MAX('2-energy assessment'!AN36+SUM(U$27:U27),0)</f>
        <v>338927.72881863907</v>
      </c>
      <c r="AG27" s="396">
        <f>'2-energy assessment'!AO36</f>
        <v>413326.49855931586</v>
      </c>
      <c r="AH27" s="396">
        <f>'2-energy assessment'!AP36</f>
        <v>99529.020853083261</v>
      </c>
      <c r="AI27" s="396">
        <f>'2-energy assessment'!AQ36</f>
        <v>93356.678474597458</v>
      </c>
      <c r="AJ27" s="396">
        <f>'2-energy assessment'!AR36</f>
        <v>36455.397172931633</v>
      </c>
      <c r="AK27" s="396">
        <f>'2-energy assessment'!AS36</f>
        <v>413326.49855931586</v>
      </c>
      <c r="AL27" s="349">
        <f>IFERROR(AE27*'2-energy assessment'!AT36/'2-energy assessment'!AM36,0)</f>
        <v>297636.41161256336</v>
      </c>
      <c r="AM27" s="349">
        <f>IFERROR(AF27*'2-energy assessment'!AU36/'2-energy assessment'!AN36,0)</f>
        <v>338927.72881863907</v>
      </c>
      <c r="AN27" s="349">
        <f>IFERROR(AG27*'2-energy assessment'!AV36/'2-energy assessment'!AO36,0)</f>
        <v>413326.49855931586</v>
      </c>
      <c r="AO27" s="349">
        <f>IFERROR(AH27*'2-energy assessment'!AW36/'2-energy assessment'!AP36,0)</f>
        <v>99529.020853083261</v>
      </c>
      <c r="AP27" s="349">
        <f>IFERROR(AI27*'2-energy assessment'!AX36/'2-energy assessment'!AQ36,0)</f>
        <v>93356.678474597458</v>
      </c>
      <c r="AQ27" s="349">
        <f>IFERROR(AJ27*'2-energy assessment'!AY36/'2-energy assessment'!AR36,0)</f>
        <v>36455.397172931633</v>
      </c>
      <c r="AR27" s="349">
        <f>IFERROR(AK27*'2-energy assessment'!AZ36/'2-energy assessment'!AS36,0)</f>
        <v>413326.49855931586</v>
      </c>
      <c r="AS27" s="344">
        <f>R27*'Appliance Stock Profile'!$B$21+S27*'Appliance Stock Profile'!$B$20+T27*'Appliance Stock Profile'!$C$21+U27*'Appliance Stock Profile'!$C$20</f>
        <v>0</v>
      </c>
      <c r="AT27" s="344">
        <f t="shared" ref="AT27:AT52" si="10">SUMPRODUCT(ElecUEC_NEW,N27:Q27)</f>
        <v>0</v>
      </c>
      <c r="AU27" s="344">
        <f>GasEmissions*AS27+'stock-flow model'!$B2*(AT27)/1000</f>
        <v>0</v>
      </c>
      <c r="AV27" s="344">
        <f>MAX(GasEmissions*SUM($AS$27:$AS27)+'stock-flow model'!$B2*SUM($AT$27:$AT27)/1000,-'2-energy assessment'!BG36)</f>
        <v>0</v>
      </c>
      <c r="AW27" s="343">
        <f>'2-energy assessment'!BG36+AV27</f>
        <v>1096122.7763067521</v>
      </c>
      <c r="AX27" s="344">
        <f>C27+M27</f>
        <v>413326.49855931586</v>
      </c>
      <c r="AY27" s="344">
        <f>'2-energy assessment'!BK36-SUM(M$27:M27)</f>
        <v>0</v>
      </c>
      <c r="AZ27" s="344">
        <f>(AE27+AI27-AH27)+(X27+AB27-AA27)</f>
        <v>306688.26193101238</v>
      </c>
      <c r="BA27" s="344">
        <f>(AH27-AI27)+(AA27-AB27)</f>
        <v>6613.2239769490734</v>
      </c>
      <c r="BB27" s="36">
        <v>0</v>
      </c>
      <c r="BC27" s="36">
        <f>BB27</f>
        <v>0</v>
      </c>
      <c r="BD27" s="36">
        <f>AV27-BC27</f>
        <v>0</v>
      </c>
    </row>
    <row r="28" spans="1:56" hidden="1" x14ac:dyDescent="0.3">
      <c r="A28" s="257">
        <f t="shared" si="0"/>
        <v>0</v>
      </c>
      <c r="B28" s="393">
        <v>2021</v>
      </c>
      <c r="C28" s="344">
        <f>'2-energy assessment'!BJ37</f>
        <v>413326.49855931586</v>
      </c>
      <c r="D28" s="344">
        <f>('2-energy assessment'!BH37+SUM($I$27:$I27))*FurnaceReplaceRate*TrueReplaceFurnace</f>
        <v>15334.413096550619</v>
      </c>
      <c r="E28" s="344">
        <f>('2-energy assessment'!BI37+SUM($J$27:$J27))*TrueReplaceFurnace*(FurnaceReplaceRate+('Appliance Stock Profile'!$H$16-FurnaceReplaceRate)*TrueReplaceFurnaceAC)</f>
        <v>749.49871738756099</v>
      </c>
      <c r="F28" s="344">
        <f>('2-energy assessment'!AG37+'2-energy assessment'!AN37+SUM(L$27:L27))*DHWReplaceRate*TrueReplaceDHW</f>
        <v>33892.772881863901</v>
      </c>
      <c r="G28" s="344">
        <f t="shared" si="1"/>
        <v>49976.684695802083</v>
      </c>
      <c r="H28" s="207">
        <f t="shared" si="2"/>
        <v>0</v>
      </c>
      <c r="I28" s="347">
        <f t="shared" si="3"/>
        <v>0</v>
      </c>
      <c r="J28" s="347">
        <f t="shared" si="4"/>
        <v>0</v>
      </c>
      <c r="K28" s="347">
        <f t="shared" si="5"/>
        <v>0</v>
      </c>
      <c r="L28" s="347">
        <f t="shared" si="6"/>
        <v>0</v>
      </c>
      <c r="M28" s="347"/>
      <c r="N28" s="347">
        <f t="shared" si="7"/>
        <v>0</v>
      </c>
      <c r="O28" s="347">
        <f t="shared" si="8"/>
        <v>0</v>
      </c>
      <c r="P28" s="347">
        <f t="shared" si="9"/>
        <v>0</v>
      </c>
      <c r="Q28" s="263"/>
      <c r="R28" s="347">
        <f>K28-S28</f>
        <v>0</v>
      </c>
      <c r="S28" s="347">
        <f>MIN($K28*('2-energy assessment'!$AM37+SUM($S$27:$S27))/('2-energy assessment'!$AM37+'2-energy assessment'!$AF37+SUM($R$27:R27)+SUM(S$27:S27)),0)</f>
        <v>0</v>
      </c>
      <c r="T28" s="347">
        <f>L28-U28</f>
        <v>0</v>
      </c>
      <c r="U28" s="347">
        <f>MIN($L28*('2-energy assessment'!$AN37+SUM($U$27:$U27))/('2-energy assessment'!$AN37+'2-energy assessment'!$AG37+SUM($L$27:L27)),0)</f>
        <v>0</v>
      </c>
      <c r="V28" s="344">
        <f>'2-energy assessment'!AM37+'2-energy assessment'!AF37+SUM(K$27:K28)</f>
        <v>313301.48590796144</v>
      </c>
      <c r="W28" s="344">
        <f>SUM(L$27:L28)+'2-energy assessment'!AG37+'2-energy assessment'!AN37</f>
        <v>372820.50170050294</v>
      </c>
      <c r="X28" s="394">
        <f>MAX('2-energy assessment'!AF37+SUM(R$27:R28),0)</f>
        <v>30546.894876026243</v>
      </c>
      <c r="Y28" s="394">
        <f>MAX('2-energy assessment'!AG37+SUM(T$27:T28),0)</f>
        <v>64704.384592649272</v>
      </c>
      <c r="Z28" s="395">
        <f>'2-energy assessment'!AH37</f>
        <v>0</v>
      </c>
      <c r="AA28" s="395">
        <f>'2-energy assessment'!AI37+SUM(N$27:N28)</f>
        <v>15345.374619002388</v>
      </c>
      <c r="AB28" s="395">
        <f>'2-energy assessment'!$AJ37+SUM($O$27:$O28)</f>
        <v>14493.003528640065</v>
      </c>
      <c r="AC28" s="395">
        <f>'2-energy assessment'!$AK37+SUM($P$27:$P28)</f>
        <v>9297.0301900843951</v>
      </c>
      <c r="AD28" s="395">
        <f>'2-energy assessment'!$AL37+SUM($Q$27:$Q28)</f>
        <v>1600.8907869099392</v>
      </c>
      <c r="AE28" s="396">
        <f>MAX('2-energy assessment'!AM37+SUM(S$27:S28),0)</f>
        <v>282754.59103193518</v>
      </c>
      <c r="AF28" s="396">
        <f>MAX('2-energy assessment'!AN37+SUM(U$27:U28),0)</f>
        <v>308116.11710785364</v>
      </c>
      <c r="AG28" s="396">
        <f>'2-energy assessment'!AO37</f>
        <v>413326.49855931586</v>
      </c>
      <c r="AH28" s="396">
        <f>'2-energy assessment'!AP37</f>
        <v>92893.752796211047</v>
      </c>
      <c r="AI28" s="396">
        <f>'2-energy assessment'!AQ37</f>
        <v>87132.899909624306</v>
      </c>
      <c r="AJ28" s="396">
        <f>'2-energy assessment'!AR37</f>
        <v>32809.85745563847</v>
      </c>
      <c r="AK28" s="396">
        <f>'2-energy assessment'!AS37</f>
        <v>413326.49855931586</v>
      </c>
      <c r="AL28" s="349">
        <f>IFERROR(AE28*'2-energy assessment'!AT37/'2-energy assessment'!AM37,0)</f>
        <v>282754.59103193518</v>
      </c>
      <c r="AM28" s="349">
        <f>IFERROR(AF28*'2-energy assessment'!AU37/'2-energy assessment'!AN37,0)</f>
        <v>308116.11710785364</v>
      </c>
      <c r="AN28" s="349">
        <f>IFERROR(AG28*'2-energy assessment'!AV37/'2-energy assessment'!AO37,0)</f>
        <v>413326.49855931586</v>
      </c>
      <c r="AO28" s="349">
        <f>IFERROR(AH28*'2-energy assessment'!AW37/'2-energy assessment'!AP37,0)</f>
        <v>92893.752796211047</v>
      </c>
      <c r="AP28" s="349">
        <f>IFERROR(AI28*'2-energy assessment'!AX37/'2-energy assessment'!AQ37,0)</f>
        <v>87132.899909624306</v>
      </c>
      <c r="AQ28" s="349">
        <f>IFERROR(AJ28*'2-energy assessment'!AY37/'2-energy assessment'!AR37,0)</f>
        <v>32809.85745563847</v>
      </c>
      <c r="AR28" s="349">
        <f>IFERROR(AK28*'2-energy assessment'!AZ37/'2-energy assessment'!AS37,0)</f>
        <v>413326.49855931586</v>
      </c>
      <c r="AS28" s="344">
        <f>R28*'Appliance Stock Profile'!$B$21+S28*'Appliance Stock Profile'!$B$20+T28*'Appliance Stock Profile'!$C$21+U28*'Appliance Stock Profile'!$C$20</f>
        <v>0</v>
      </c>
      <c r="AT28" s="344">
        <f t="shared" si="10"/>
        <v>0</v>
      </c>
      <c r="AU28" s="344">
        <f>GasEmissions*AS28+'stock-flow model'!$B3*(AT28)/1000</f>
        <v>0</v>
      </c>
      <c r="AV28" s="344">
        <f>MAX(GasEmissions*SUM($AS$27:$AS28)+'stock-flow model'!$B3*SUM($AT$27:$AT28)/1000,-'2-energy assessment'!BG37)</f>
        <v>0</v>
      </c>
      <c r="AW28" s="343">
        <f>'2-energy assessment'!BG37+AV28</f>
        <v>1060934.5405731951</v>
      </c>
      <c r="AX28" s="344">
        <f>C28+SUM(M$27:M28)</f>
        <v>413326.49855931586</v>
      </c>
      <c r="AY28" s="344">
        <f>'2-energy assessment'!BK37-SUM(M$27:M28)</f>
        <v>1600.8907869099392</v>
      </c>
      <c r="AZ28" s="344">
        <f t="shared" ref="AZ28:AZ52" si="11">(AE28+AI28-AH28)+(X28+AB28-AA28)</f>
        <v>306688.26193101238</v>
      </c>
      <c r="BA28" s="344">
        <f t="shared" ref="BA28:BA52" si="12">(AH28-AI28)+(AA28-AB28)</f>
        <v>6613.2239769490643</v>
      </c>
      <c r="BB28" s="36">
        <f t="shared" ref="BB28:BB52" si="13">IFERROR(IF(B28&gt;=StartEqptReplacemt,(ComplyEqptReplacemt-MIN(ComplyEqptReplacemt,BaseEqptReplacement))*(AV28-AV27)/ComplyEqptReplacemt,0),0)*TrueReplacement</f>
        <v>0</v>
      </c>
      <c r="BC28" s="36">
        <f>BC27+BB28</f>
        <v>0</v>
      </c>
      <c r="BD28" s="36">
        <f>AV28-BC28</f>
        <v>0</v>
      </c>
    </row>
    <row r="29" spans="1:56" hidden="1" x14ac:dyDescent="0.3">
      <c r="A29" s="257">
        <f t="shared" si="0"/>
        <v>1</v>
      </c>
      <c r="B29" s="393">
        <v>2022</v>
      </c>
      <c r="C29" s="344">
        <f>'2-energy assessment'!BJ38</f>
        <v>413261.21647365321</v>
      </c>
      <c r="D29" s="344">
        <f>('2-energy assessment'!BH38+SUM($I$27:$I28))*FurnaceReplaceRate*TrueReplaceFurnace</f>
        <v>15331.549783737202</v>
      </c>
      <c r="E29" s="344">
        <f>('2-energy assessment'!BI38+SUM($J$27:$J28))*TrueReplaceFurnace*(FurnaceReplaceRate+('Appliance Stock Profile'!$H$16-FurnaceReplaceRate)*TrueReplaceFurnaceAC)</f>
        <v>746.37228981102953</v>
      </c>
      <c r="F29" s="344">
        <f>('2-energy assessment'!AG38+'2-energy assessment'!AN38+SUM(L$27:L28))*DHWReplaceRate*TrueReplaceDHW</f>
        <v>33884.729108724408</v>
      </c>
      <c r="G29" s="344">
        <f t="shared" si="1"/>
        <v>49962.651182272639</v>
      </c>
      <c r="H29" s="207">
        <f t="shared" si="2"/>
        <v>44966.386064045379</v>
      </c>
      <c r="I29" s="347">
        <f t="shared" si="3"/>
        <v>-13798.394805363483</v>
      </c>
      <c r="J29" s="347">
        <f t="shared" si="4"/>
        <v>-671.73506082992662</v>
      </c>
      <c r="K29" s="347">
        <f t="shared" si="5"/>
        <v>-14470.129866193409</v>
      </c>
      <c r="L29" s="347">
        <f t="shared" si="6"/>
        <v>-30496.25619785197</v>
      </c>
      <c r="M29" s="347"/>
      <c r="N29" s="347">
        <f t="shared" si="7"/>
        <v>13798.394805363483</v>
      </c>
      <c r="O29" s="347">
        <f t="shared" si="8"/>
        <v>14470.129866193409</v>
      </c>
      <c r="P29" s="347">
        <f t="shared" si="9"/>
        <v>30496.25619785197</v>
      </c>
      <c r="Q29" s="263"/>
      <c r="R29" s="347">
        <f t="shared" ref="R29:R52" si="14">K29-S29</f>
        <v>-2064.361369352604</v>
      </c>
      <c r="S29" s="347">
        <f>MIN($K29*('2-energy assessment'!$AM38+SUM($S$27:$S28))/('2-energy assessment'!$AM38+'2-energy assessment'!$AF38+SUM($R$27:R28)+SUM(S$27:S28)),0)</f>
        <v>-12405.768496840805</v>
      </c>
      <c r="T29" s="347">
        <f t="shared" ref="T29:T52" si="15">L29-U29</f>
        <v>-7585.7678749115403</v>
      </c>
      <c r="U29" s="347">
        <f>MIN($L29*('2-energy assessment'!$AN38+SUM($U$27:$U28))/('2-energy assessment'!$AN38+'2-energy assessment'!$AG38+SUM($L$27:L28)),0)</f>
        <v>-22910.488322940429</v>
      </c>
      <c r="V29" s="344">
        <f>'2-energy assessment'!AM38+'2-energy assessment'!AF38+SUM(K$27:K29)</f>
        <v>298746.50365982438</v>
      </c>
      <c r="W29" s="344">
        <f>SUM(L$27:L29)+'2-energy assessment'!AG38+'2-energy assessment'!AN38</f>
        <v>342235.76399811648</v>
      </c>
      <c r="X29" s="394">
        <f>MAX('2-energy assessment'!AF38+SUM(R$27:R29),0)</f>
        <v>42620.263058270393</v>
      </c>
      <c r="Y29" s="394">
        <f>MAX('2-energy assessment'!AG38+SUM(T$27:T29),0)</f>
        <v>85129.172818451698</v>
      </c>
      <c r="Z29" s="395">
        <f>'2-energy assessment'!AH38</f>
        <v>0</v>
      </c>
      <c r="AA29" s="395">
        <f>'2-energy assessment'!AI38+SUM(N$27:N29)</f>
        <v>36994.843320624896</v>
      </c>
      <c r="AB29" s="395">
        <f>'2-energy assessment'!$AJ38+SUM($O$27:$O29)</f>
        <v>36457.736557662007</v>
      </c>
      <c r="AC29" s="395">
        <f>'2-energy assessment'!$AK38+SUM($P$27:$P29)</f>
        <v>44763.64442494465</v>
      </c>
      <c r="AD29" s="395">
        <f>'2-energy assessment'!$AL38+SUM($Q$27:$Q29)</f>
        <v>3201.7815738198783</v>
      </c>
      <c r="AE29" s="396">
        <f>MAX('2-energy assessment'!AM38+SUM(S$27:S29),0)</f>
        <v>256126.24060155396</v>
      </c>
      <c r="AF29" s="396">
        <f>MAX('2-energy assessment'!AN38+SUM(U$27:U29),0)</f>
        <v>257106.59117966477</v>
      </c>
      <c r="AG29" s="396">
        <f>'2-energy assessment'!AO38</f>
        <v>413261.21647365321</v>
      </c>
      <c r="AH29" s="396">
        <f>'2-energy assessment'!AP38</f>
        <v>86700.835943130311</v>
      </c>
      <c r="AI29" s="396">
        <f>'2-energy assessment'!AQ38</f>
        <v>81324.039915649337</v>
      </c>
      <c r="AJ29" s="396">
        <f>'2-energy assessment'!AR38</f>
        <v>29528.871710074622</v>
      </c>
      <c r="AK29" s="396">
        <f>'2-energy assessment'!AS38</f>
        <v>413326.49855931586</v>
      </c>
      <c r="AL29" s="349">
        <f>IFERROR(AE29*'2-energy assessment'!AT38/'2-energy assessment'!AM38,0)</f>
        <v>255397.84961756464</v>
      </c>
      <c r="AM29" s="349">
        <f>IFERROR(AF29*'2-energy assessment'!AU38/'2-energy assessment'!AN38,0)</f>
        <v>256375.41220128426</v>
      </c>
      <c r="AN29" s="349">
        <f>IFERROR(AG29*'2-energy assessment'!AV38/'2-energy assessment'!AO38,0)</f>
        <v>412020.85684606293</v>
      </c>
      <c r="AO29" s="349">
        <f>IFERROR(AH29*'2-energy assessment'!AW38/'2-energy assessment'!AP38,0)</f>
        <v>86426.959895076725</v>
      </c>
      <c r="AP29" s="349">
        <f>IFERROR(AI29*'2-energy assessment'!AX38/'2-energy assessment'!AQ38,0)</f>
        <v>81067.148428715358</v>
      </c>
      <c r="AQ29" s="349">
        <f>IFERROR(AJ29*'2-energy assessment'!AY38/'2-energy assessment'!AR38,0)</f>
        <v>29435.594054796409</v>
      </c>
      <c r="AR29" s="349">
        <f>IFERROR(AK29*'2-energy assessment'!AZ38/'2-energy assessment'!AS38,0)</f>
        <v>412020.85684606293</v>
      </c>
      <c r="AS29" s="344">
        <f>R29*'Appliance Stock Profile'!$B$21+S29*'Appliance Stock Profile'!$B$20+T29*'Appliance Stock Profile'!$C$21+U29*'Appliance Stock Profile'!$C$20</f>
        <v>-10511478.629558455</v>
      </c>
      <c r="AT29" s="344">
        <f t="shared" si="10"/>
        <v>45867559.74320586</v>
      </c>
      <c r="AU29" s="344">
        <f>GasEmissions*AS29+'stock-flow model'!$B4*(AT29)/1000</f>
        <v>-53681.24787868464</v>
      </c>
      <c r="AV29" s="344">
        <f>MAX(GasEmissions*SUM($AS$27:$AS29)+'stock-flow model'!$B4*SUM($AT$27:$AT29)/1000,-'2-energy assessment'!BG38)</f>
        <v>-53681.24787868464</v>
      </c>
      <c r="AW29" s="343">
        <f>'2-energy assessment'!BG38+AV29</f>
        <v>973133.08647521317</v>
      </c>
      <c r="AX29" s="344">
        <f>C29+SUM(M$27:M29)</f>
        <v>413261.21647365321</v>
      </c>
      <c r="AY29" s="344">
        <f>'2-energy assessment'!BK38-SUM(M$27:M29)</f>
        <v>3267.0636594825255</v>
      </c>
      <c r="AZ29" s="344">
        <f t="shared" si="11"/>
        <v>292832.60086938046</v>
      </c>
      <c r="BA29" s="344">
        <f t="shared" si="12"/>
        <v>5913.9027904438626</v>
      </c>
      <c r="BB29" s="36">
        <f t="shared" si="13"/>
        <v>-53681.247878684633</v>
      </c>
      <c r="BC29" s="36">
        <f t="shared" ref="BC29:BC52" si="16">BC28+BB29</f>
        <v>-53681.247878684633</v>
      </c>
      <c r="BD29" s="36">
        <f t="shared" ref="BD29:BD52" si="17">AV29-BC29</f>
        <v>0</v>
      </c>
    </row>
    <row r="30" spans="1:56" hidden="1" x14ac:dyDescent="0.3">
      <c r="A30" s="257">
        <f t="shared" si="0"/>
        <v>1</v>
      </c>
      <c r="B30" s="393">
        <v>2023</v>
      </c>
      <c r="C30" s="344">
        <f>'2-energy assessment'!BJ39</f>
        <v>413198.93483551912</v>
      </c>
      <c r="D30" s="344">
        <f>('2-energy assessment'!BH39+SUM($I$27:$I29))*FurnaceReplaceRate*TrueReplaceFurnace</f>
        <v>14639.165490123671</v>
      </c>
      <c r="E30" s="344">
        <f>('2-energy assessment'!BI39+SUM($J$27:$J29))*TrueReplaceFurnace*(FurnaceReplaceRate+('Appliance Stock Profile'!$H$16-FurnaceReplaceRate)*TrueReplaceFurnaceAC)</f>
        <v>667.11427753459361</v>
      </c>
      <c r="F30" s="344">
        <f>('2-energy assessment'!AG39+'2-energy assessment'!AN39+SUM(L$27:L29))*DHWReplaceRate*TrueReplaceDHW</f>
        <v>31105.367075824313</v>
      </c>
      <c r="G30" s="344">
        <f t="shared" si="1"/>
        <v>46411.64684348258</v>
      </c>
      <c r="H30" s="207">
        <f t="shared" si="2"/>
        <v>41770.482159134321</v>
      </c>
      <c r="I30" s="347">
        <f t="shared" si="3"/>
        <v>-13175.248941111304</v>
      </c>
      <c r="J30" s="347">
        <f t="shared" si="4"/>
        <v>-600.40284978113425</v>
      </c>
      <c r="K30" s="347">
        <f t="shared" si="5"/>
        <v>-13775.651790892438</v>
      </c>
      <c r="L30" s="347">
        <f t="shared" si="6"/>
        <v>-27994.830368241881</v>
      </c>
      <c r="M30" s="347"/>
      <c r="N30" s="347">
        <f t="shared" si="7"/>
        <v>13175.248941111304</v>
      </c>
      <c r="O30" s="347">
        <f t="shared" si="8"/>
        <v>13775.651790892438</v>
      </c>
      <c r="P30" s="347">
        <f t="shared" si="9"/>
        <v>27994.830368241881</v>
      </c>
      <c r="Q30" s="263"/>
      <c r="R30" s="347">
        <f t="shared" si="14"/>
        <v>-2585.2664245033666</v>
      </c>
      <c r="S30" s="347">
        <f>MIN($K30*('2-energy assessment'!$AM39+SUM($S$27:$S29))/('2-energy assessment'!$AM39+'2-energy assessment'!$AF39+SUM($R$27:R29)+SUM(S$27:S29)),0)</f>
        <v>-11190.385366389071</v>
      </c>
      <c r="T30" s="347">
        <f t="shared" si="15"/>
        <v>-9048.5439323065912</v>
      </c>
      <c r="U30" s="347">
        <f>MIN($L30*('2-energy assessment'!$AN39+SUM($U$27:$U29))/('2-energy assessment'!$AN39+'2-energy assessment'!$AG39+SUM($L$27:L29)),0)</f>
        <v>-18946.28643593529</v>
      </c>
      <c r="V30" s="344">
        <f>'2-energy assessment'!AM39+'2-energy assessment'!AF39+SUM(K$27:K30)</f>
        <v>284893.96046041558</v>
      </c>
      <c r="W30" s="344">
        <f>SUM(L$27:L30)+'2-energy assessment'!AG39+'2-energy assessment'!AN39</f>
        <v>314164.20746582554</v>
      </c>
      <c r="X30" s="394">
        <f>MAX('2-energy assessment'!AF39+SUM(R$27:R30),0)</f>
        <v>53465.839707783947</v>
      </c>
      <c r="Y30" s="394">
        <f>MAX('2-energy assessment'!AG39+SUM(T$27:T30),0)</f>
        <v>101544.7707958851</v>
      </c>
      <c r="Z30" s="395">
        <f>'2-energy assessment'!AH39</f>
        <v>0</v>
      </c>
      <c r="AA30" s="395">
        <f>'2-energy assessment'!AI39+SUM(N$27:N30)</f>
        <v>57600.329845095301</v>
      </c>
      <c r="AB30" s="395">
        <f>'2-energy assessment'!$AJ39+SUM($O$27:$O30)</f>
        <v>57332.773205024045</v>
      </c>
      <c r="AC30" s="395">
        <f>'2-energy assessment'!$AK39+SUM($P$27:$P30)</f>
        <v>77388.978915152999</v>
      </c>
      <c r="AD30" s="395">
        <f>'2-energy assessment'!$AL39+SUM($Q$27:$Q30)</f>
        <v>4802.6723607298172</v>
      </c>
      <c r="AE30" s="396">
        <f>MAX('2-energy assessment'!AM39+SUM(S$27:S30),0)</f>
        <v>231428.12075263166</v>
      </c>
      <c r="AF30" s="396">
        <f>MAX('2-energy assessment'!AN39+SUM(U$27:U30),0)</f>
        <v>212619.43666994045</v>
      </c>
      <c r="AG30" s="396">
        <f>'2-energy assessment'!AO39</f>
        <v>413198.93483551912</v>
      </c>
      <c r="AH30" s="396">
        <f>'2-energy assessment'!AP39</f>
        <v>80920.780213588296</v>
      </c>
      <c r="AI30" s="396">
        <f>'2-energy assessment'!AQ39</f>
        <v>75902.437254606048</v>
      </c>
      <c r="AJ30" s="396">
        <f>'2-energy assessment'!AR39</f>
        <v>26575.984539067162</v>
      </c>
      <c r="AK30" s="396">
        <f>'2-energy assessment'!AS39</f>
        <v>413326.49855931586</v>
      </c>
      <c r="AL30" s="349">
        <f>IFERROR(AE30*'2-energy assessment'!AT39/'2-energy assessment'!AM39,0)</f>
        <v>230106.99307455777</v>
      </c>
      <c r="AM30" s="349">
        <f>IFERROR(AF30*'2-energy assessment'!AU39/'2-energy assessment'!AN39,0)</f>
        <v>211377.00940714101</v>
      </c>
      <c r="AN30" s="349">
        <f>IFERROR(AG30*'2-energy assessment'!AV39/'2-energy assessment'!AO39,0)</f>
        <v>410775.22408338054</v>
      </c>
      <c r="AO30" s="349">
        <f>IFERROR(AH30*'2-energy assessment'!AW39/'2-energy assessment'!AP39,0)</f>
        <v>80403.860406212116</v>
      </c>
      <c r="AP30" s="349">
        <f>IFERROR(AI30*'2-energy assessment'!AX39/'2-energy assessment'!AQ39,0)</f>
        <v>75417.574489547769</v>
      </c>
      <c r="AQ30" s="349">
        <f>IFERROR(AJ30*'2-energy assessment'!AY39/'2-energy assessment'!AR39,0)</f>
        <v>26402.896546310109</v>
      </c>
      <c r="AR30" s="349">
        <f>IFERROR(AK30*'2-energy assessment'!AZ39/'2-energy assessment'!AS39,0)</f>
        <v>410775.22408338042</v>
      </c>
      <c r="AS30" s="344">
        <f>R30*'Appliance Stock Profile'!$B$21+S30*'Appliance Stock Profile'!$B$20+T30*'Appliance Stock Profile'!$C$21+U30*'Appliance Stock Profile'!$C$20</f>
        <v>-9519414.7257449813</v>
      </c>
      <c r="AT30" s="344">
        <f t="shared" si="10"/>
        <v>42940543.001975104</v>
      </c>
      <c r="AU30" s="344">
        <f>GasEmissions*AS30+'stock-flow model'!$B5*(AT30)/1000</f>
        <v>-48790.335396394163</v>
      </c>
      <c r="AV30" s="344">
        <f>MAX(GasEmissions*SUM($AS$27:$AS30)+'stock-flow model'!$B5*SUM($AT$27:$AT30)/1000,-'2-energy assessment'!BG39)</f>
        <v>-102725.2818823257</v>
      </c>
      <c r="AW30" s="343">
        <f>'2-energy assessment'!BG39+AV30</f>
        <v>891562.63824188709</v>
      </c>
      <c r="AX30" s="344">
        <f>C30+SUM(M$27:M30)</f>
        <v>413198.93483551912</v>
      </c>
      <c r="AY30" s="344">
        <f>'2-energy assessment'!BK39-SUM(M$27:M30)</f>
        <v>4930.2360845265857</v>
      </c>
      <c r="AZ30" s="344">
        <f t="shared" si="11"/>
        <v>279608.06086136214</v>
      </c>
      <c r="BA30" s="344">
        <f t="shared" si="12"/>
        <v>5285.8995990535041</v>
      </c>
      <c r="BB30" s="36">
        <f t="shared" si="13"/>
        <v>-49044.034003641056</v>
      </c>
      <c r="BC30" s="36">
        <f t="shared" si="16"/>
        <v>-102725.28188232568</v>
      </c>
      <c r="BD30" s="36">
        <f t="shared" si="17"/>
        <v>0</v>
      </c>
    </row>
    <row r="31" spans="1:56" hidden="1" x14ac:dyDescent="0.3">
      <c r="A31" s="257">
        <f t="shared" si="0"/>
        <v>1</v>
      </c>
      <c r="B31" s="393">
        <v>2024</v>
      </c>
      <c r="C31" s="344">
        <f>'2-energy assessment'!BJ40</f>
        <v>413139.51574053621</v>
      </c>
      <c r="D31" s="344">
        <f>('2-energy assessment'!BH40+SUM($I$27:$I30))*FurnaceReplaceRate*TrueReplaceFurnace</f>
        <v>13978.281183071715</v>
      </c>
      <c r="E31" s="344">
        <f>('2-energy assessment'!BI40+SUM($J$27:$J30))*TrueReplaceFurnace*(FurnaceReplaceRate+('Appliance Stock Profile'!$H$16-FurnaceReplaceRate)*TrueReplaceFurnaceAC)</f>
        <v>595.98147987495668</v>
      </c>
      <c r="F31" s="344">
        <f>('2-energy assessment'!AG40+'2-energy assessment'!AN40+SUM(L$27:L30))*DHWReplaceRate*TrueReplaceDHW</f>
        <v>28554.334236788574</v>
      </c>
      <c r="G31" s="344">
        <f t="shared" si="1"/>
        <v>43128.596899735247</v>
      </c>
      <c r="H31" s="207">
        <f t="shared" si="2"/>
        <v>38815.737209761726</v>
      </c>
      <c r="I31" s="347">
        <f t="shared" si="3"/>
        <v>-12580.453064764544</v>
      </c>
      <c r="J31" s="347">
        <f t="shared" si="4"/>
        <v>-536.38333188746105</v>
      </c>
      <c r="K31" s="347">
        <f t="shared" si="5"/>
        <v>-13116.836396652005</v>
      </c>
      <c r="L31" s="347">
        <f t="shared" si="6"/>
        <v>-25698.900813109718</v>
      </c>
      <c r="M31" s="347"/>
      <c r="N31" s="347">
        <f t="shared" si="7"/>
        <v>12580.453064764544</v>
      </c>
      <c r="O31" s="347">
        <f t="shared" si="8"/>
        <v>13116.836396652005</v>
      </c>
      <c r="P31" s="347">
        <f t="shared" si="9"/>
        <v>25698.900813109718</v>
      </c>
      <c r="Q31" s="263"/>
      <c r="R31" s="347">
        <f t="shared" si="14"/>
        <v>-3049.8253991615002</v>
      </c>
      <c r="S31" s="347">
        <f>MIN($K31*('2-energy assessment'!$AM40+SUM($S$27:$S30))/('2-energy assessment'!$AM40+'2-energy assessment'!$AF40+SUM($R$27:R30)+SUM(S$27:S30)),0)</f>
        <v>-10067.010997490504</v>
      </c>
      <c r="T31" s="347">
        <f t="shared" si="15"/>
        <v>-10202.235603858859</v>
      </c>
      <c r="U31" s="347">
        <f>MIN($L31*('2-energy assessment'!$AN40+SUM($U$27:$U30))/('2-energy assessment'!$AN40+'2-energy assessment'!$AG40+SUM($L$27:L30)),0)</f>
        <v>-15496.665209250859</v>
      </c>
      <c r="V31" s="344">
        <f>'2-energy assessment'!AM40+'2-energy assessment'!AF40+SUM(K$27:K31)</f>
        <v>271707.447381326</v>
      </c>
      <c r="W31" s="344">
        <f>SUM(L$27:L31)+'2-energy assessment'!AG40+'2-energy assessment'!AN40</f>
        <v>288398.77579156461</v>
      </c>
      <c r="X31" s="394">
        <f>MAX('2-energy assessment'!AF40+SUM(R$27:R31),0)</f>
        <v>63175.315228938518</v>
      </c>
      <c r="Y31" s="394">
        <f>MAX('2-energy assessment'!AG40+SUM(T$27:T31),0)</f>
        <v>114491.75510997165</v>
      </c>
      <c r="Z31" s="395">
        <f>'2-energy assessment'!AH40</f>
        <v>0</v>
      </c>
      <c r="AA31" s="395">
        <f>'2-energy assessment'!AI40+SUM(N$27:N31)</f>
        <v>77218.829577603494</v>
      </c>
      <c r="AB31" s="395">
        <f>'2-energy assessment'!$AJ40+SUM($O$27:$O31)</f>
        <v>77180.33955466398</v>
      </c>
      <c r="AC31" s="395">
        <f>'2-energy assessment'!$AK40+SUM($P$27:$P31)</f>
        <v>107412.8998302306</v>
      </c>
      <c r="AD31" s="395">
        <f>'2-energy assessment'!$AL40+SUM($Q$27:$Q31)</f>
        <v>6403.5631476397566</v>
      </c>
      <c r="AE31" s="396">
        <f>MAX('2-energy assessment'!AM40+SUM(S$27:S31),0)</f>
        <v>208532.13215238746</v>
      </c>
      <c r="AF31" s="396">
        <f>MAX('2-energy assessment'!AN40+SUM(U$27:U31),0)</f>
        <v>173907.02068159293</v>
      </c>
      <c r="AG31" s="396">
        <f>'2-energy assessment'!AO40</f>
        <v>413139.51574053621</v>
      </c>
      <c r="AH31" s="396">
        <f>'2-energy assessment'!AP40</f>
        <v>75526.061532682405</v>
      </c>
      <c r="AI31" s="396">
        <f>'2-energy assessment'!AQ40</f>
        <v>70842.274770965654</v>
      </c>
      <c r="AJ31" s="396">
        <f>'2-energy assessment'!AR40</f>
        <v>23918.386085160444</v>
      </c>
      <c r="AK31" s="396">
        <f>'2-energy assessment'!AS40</f>
        <v>413326.49855931586</v>
      </c>
      <c r="AL31" s="349">
        <f>IFERROR(AE31*'2-energy assessment'!AT40/'2-energy assessment'!AM40,0)</f>
        <v>206738.50700707204</v>
      </c>
      <c r="AM31" s="349">
        <f>IFERROR(AF31*'2-energy assessment'!AU40/'2-energy assessment'!AN40,0)</f>
        <v>172338.30975728793</v>
      </c>
      <c r="AN31" s="349">
        <f>IFERROR(AG31*'2-energy assessment'!AV40/'2-energy assessment'!AO40,0)</f>
        <v>409586.84218372282</v>
      </c>
      <c r="AO31" s="349">
        <f>IFERROR(AH31*'2-energy assessment'!AW40/'2-energy assessment'!AP40,0)</f>
        <v>74793.478063174916</v>
      </c>
      <c r="AP31" s="349">
        <f>IFERROR(AI31*'2-energy assessment'!AX40/'2-energy assessment'!AQ40,0)</f>
        <v>70155.122834450885</v>
      </c>
      <c r="AQ31" s="349">
        <f>IFERROR(AJ31*'2-energy assessment'!AY40/'2-energy assessment'!AR40,0)</f>
        <v>23677.026441412359</v>
      </c>
      <c r="AR31" s="349">
        <f>IFERROR(AK31*'2-energy assessment'!AZ40/'2-energy assessment'!AS40,0)</f>
        <v>409586.84218372288</v>
      </c>
      <c r="AS31" s="344">
        <f>R31*'Appliance Stock Profile'!$B$21+S31*'Appliance Stock Profile'!$B$20+T31*'Appliance Stock Profile'!$C$21+U31*'Appliance Stock Profile'!$C$20</f>
        <v>-8623991.5120732021</v>
      </c>
      <c r="AT31" s="344">
        <f t="shared" si="10"/>
        <v>40217408.811865039</v>
      </c>
      <c r="AU31" s="344">
        <f>GasEmissions*AS31+'stock-flow model'!$B6*(AT31)/1000</f>
        <v>-44372.473074102047</v>
      </c>
      <c r="AV31" s="344">
        <f>MAX(GasEmissions*SUM($AS$27:$AS31)+'stock-flow model'!$B6*SUM($AT$27:$AT31)/1000,-'2-energy assessment'!BG40)</f>
        <v>-147588.9625136824</v>
      </c>
      <c r="AW31" s="343">
        <f>'2-energy assessment'!BG40+AV31</f>
        <v>815612.00514317746</v>
      </c>
      <c r="AX31" s="344">
        <f>C31+SUM(M$27:M31)</f>
        <v>413139.51574053621</v>
      </c>
      <c r="AY31" s="344">
        <f>'2-energy assessment'!BK40-SUM(M$27:M31)</f>
        <v>6590.5459664194095</v>
      </c>
      <c r="AZ31" s="344">
        <f t="shared" si="11"/>
        <v>266985.17059666972</v>
      </c>
      <c r="BA31" s="344">
        <f t="shared" si="12"/>
        <v>4722.2767846562638</v>
      </c>
      <c r="BB31" s="36">
        <f t="shared" si="13"/>
        <v>-44863.680631356707</v>
      </c>
      <c r="BC31" s="36">
        <f t="shared" si="16"/>
        <v>-147588.96251368237</v>
      </c>
      <c r="BD31" s="36">
        <f t="shared" si="17"/>
        <v>0</v>
      </c>
    </row>
    <row r="32" spans="1:56" hidden="1" x14ac:dyDescent="0.3">
      <c r="A32" s="257">
        <f t="shared" si="0"/>
        <v>1</v>
      </c>
      <c r="B32" s="393">
        <v>2025</v>
      </c>
      <c r="C32" s="344">
        <f>'2-energy assessment'!BJ41</f>
        <v>413082.8276225875</v>
      </c>
      <c r="D32" s="344">
        <f>('2-energy assessment'!BH41+SUM($I$27:$I31))*FurnaceReplaceRate*TrueReplaceFurnace</f>
        <v>13347.43128738317</v>
      </c>
      <c r="E32" s="344">
        <f>('2-energy assessment'!BI41+SUM($J$27:$J31))*TrueReplaceFurnace*(FurnaceReplaceRate+('Appliance Stock Profile'!$H$16-FurnaceReplaceRate)*TrueReplaceFurnaceAC)</f>
        <v>532.17744640058447</v>
      </c>
      <c r="F32" s="344">
        <f>('2-energy assessment'!AG41+'2-energy assessment'!AN41+SUM(L$27:L31))*DHWReplaceRate*TrueReplaceDHW</f>
        <v>26212.826102546565</v>
      </c>
      <c r="G32" s="344">
        <f t="shared" si="1"/>
        <v>40092.434836330322</v>
      </c>
      <c r="H32" s="207">
        <f t="shared" si="2"/>
        <v>36083.191352697293</v>
      </c>
      <c r="I32" s="347">
        <f t="shared" si="3"/>
        <v>-12012.688158644853</v>
      </c>
      <c r="J32" s="347">
        <f t="shared" si="4"/>
        <v>-478.95970176052606</v>
      </c>
      <c r="K32" s="347">
        <f t="shared" si="5"/>
        <v>-12491.647860405379</v>
      </c>
      <c r="L32" s="347">
        <f t="shared" si="6"/>
        <v>-23591.543492291908</v>
      </c>
      <c r="M32" s="347"/>
      <c r="N32" s="347">
        <f t="shared" si="7"/>
        <v>12012.688158644853</v>
      </c>
      <c r="O32" s="347">
        <f t="shared" si="8"/>
        <v>12491.647860405379</v>
      </c>
      <c r="P32" s="347">
        <f t="shared" si="9"/>
        <v>23591.543492291908</v>
      </c>
      <c r="Q32" s="263"/>
      <c r="R32" s="347">
        <f t="shared" si="14"/>
        <v>-3462.5398697722976</v>
      </c>
      <c r="S32" s="347">
        <f>MIN($K32*('2-energy assessment'!$AM41+SUM($S$27:$S31))/('2-energy assessment'!$AM41+'2-energy assessment'!$AF41+SUM($R$27:R31)+SUM(S$27:S31)),0)</f>
        <v>-9029.1079906330815</v>
      </c>
      <c r="T32" s="347">
        <f t="shared" si="15"/>
        <v>-11089.350040084533</v>
      </c>
      <c r="U32" s="347">
        <f>MIN($L32*('2-energy assessment'!$AN41+SUM($U$27:$U31))/('2-energy assessment'!$AN41+'2-energy assessment'!$AG41+SUM($L$27:L31)),0)</f>
        <v>-12502.193452207375</v>
      </c>
      <c r="V32" s="344">
        <f>'2-energy assessment'!AM41+'2-energy assessment'!AF41+SUM(K$27:K32)</f>
        <v>259152.66123785137</v>
      </c>
      <c r="W32" s="344">
        <f>SUM(L$27:L32)+'2-energy assessment'!AG41+'2-energy assessment'!AN41</f>
        <v>264749.54363572027</v>
      </c>
      <c r="X32" s="394">
        <f>MAX('2-energy assessment'!AF41+SUM(R$27:R32),0)</f>
        <v>71834.111233466494</v>
      </c>
      <c r="Y32" s="394">
        <f>MAX('2-energy assessment'!AG41+SUM(T$27:T32),0)</f>
        <v>124447.1504498375</v>
      </c>
      <c r="Z32" s="395">
        <f>'2-energy assessment'!AH41</f>
        <v>0</v>
      </c>
      <c r="AA32" s="395">
        <f>'2-energy assessment'!AI41+SUM(N$27:N32)</f>
        <v>95904.024141010159</v>
      </c>
      <c r="AB32" s="395">
        <f>'2-energy assessment'!$AJ41+SUM($O$27:$O32)</f>
        <v>96058.834803112928</v>
      </c>
      <c r="AC32" s="395">
        <f>'2-energy assessment'!$AK41+SUM($P$27:$P32)</f>
        <v>135054.8613815009</v>
      </c>
      <c r="AD32" s="395">
        <f>'2-energy assessment'!$AL41+SUM($Q$27:$Q32)</f>
        <v>8004.453934549696</v>
      </c>
      <c r="AE32" s="396">
        <f>MAX('2-energy assessment'!AM41+SUM(S$27:S32),0)</f>
        <v>187318.55000438489</v>
      </c>
      <c r="AF32" s="396">
        <f>MAX('2-energy assessment'!AN41+SUM(U$27:U32),0)</f>
        <v>140302.39318588277</v>
      </c>
      <c r="AG32" s="396">
        <f>'2-energy assessment'!AO41</f>
        <v>413082.8276225875</v>
      </c>
      <c r="AH32" s="396">
        <f>'2-energy assessment'!AP41</f>
        <v>70490.990763836904</v>
      </c>
      <c r="AI32" s="396">
        <f>'2-energy assessment'!AQ41</f>
        <v>66119.456452901271</v>
      </c>
      <c r="AJ32" s="396">
        <f>'2-energy assessment'!AR41</f>
        <v>21526.547476644399</v>
      </c>
      <c r="AK32" s="396">
        <f>'2-energy assessment'!AS41</f>
        <v>413326.49855931586</v>
      </c>
      <c r="AL32" s="349">
        <f>IFERROR(AE32*'2-energy assessment'!AT41/'2-energy assessment'!AM41,0)</f>
        <v>185158.98094045959</v>
      </c>
      <c r="AM32" s="349">
        <f>IFERROR(AF32*'2-energy assessment'!AU41/'2-energy assessment'!AN41,0)</f>
        <v>138562.86045779151</v>
      </c>
      <c r="AN32" s="349">
        <f>IFERROR(AG32*'2-energy assessment'!AV41/'2-energy assessment'!AO41,0)</f>
        <v>408453.07982474886</v>
      </c>
      <c r="AO32" s="349">
        <f>IFERROR(AH32*'2-energy assessment'!AW41/'2-energy assessment'!AP41,0)</f>
        <v>69567.058671175677</v>
      </c>
      <c r="AP32" s="349">
        <f>IFERROR(AI32*'2-energy assessment'!AX41/'2-energy assessment'!AQ41,0)</f>
        <v>65252.82247451361</v>
      </c>
      <c r="AQ32" s="349">
        <f>IFERROR(AJ32*'2-energy assessment'!AY41/'2-energy assessment'!AR41,0)</f>
        <v>21226.802162360447</v>
      </c>
      <c r="AR32" s="349">
        <f>IFERROR(AK32*'2-energy assessment'!AZ41/'2-energy assessment'!AS41,0)</f>
        <v>408453.07982474891</v>
      </c>
      <c r="AS32" s="344">
        <f>R32*'Appliance Stock Profile'!$B$21+S32*'Appliance Stock Profile'!$B$20+T32*'Appliance Stock Profile'!$C$21+U32*'Appliance Stock Profile'!$C$20</f>
        <v>-7815697.3175761718</v>
      </c>
      <c r="AT32" s="344">
        <f t="shared" si="10"/>
        <v>37682928.297462106</v>
      </c>
      <c r="AU32" s="344">
        <f>GasEmissions*AS32+'stock-flow model'!$B7*(AT32)/1000</f>
        <v>-40381.053310393654</v>
      </c>
      <c r="AV32" s="344">
        <f>MAX(GasEmissions*SUM($AS$27:$AS32)+'stock-flow model'!$B7*SUM($AT$27:$AT32)/1000,-'2-energy assessment'!BG41)</f>
        <v>-188683.67037131169</v>
      </c>
      <c r="AW32" s="343">
        <f>'2-energy assessment'!BG41+AV32</f>
        <v>744729.59978751873</v>
      </c>
      <c r="AX32" s="344">
        <f>C32+SUM(M$27:M32)</f>
        <v>413082.8276225875</v>
      </c>
      <c r="AY32" s="344">
        <f>'2-energy assessment'!BK41-SUM(M$27:M32)</f>
        <v>8248.1248712780452</v>
      </c>
      <c r="AZ32" s="344">
        <f t="shared" si="11"/>
        <v>254935.93758901852</v>
      </c>
      <c r="BA32" s="344">
        <f t="shared" si="12"/>
        <v>4216.7236488328635</v>
      </c>
      <c r="BB32" s="36">
        <f t="shared" si="13"/>
        <v>-41094.707857629284</v>
      </c>
      <c r="BC32" s="36">
        <f t="shared" si="16"/>
        <v>-188683.67037131166</v>
      </c>
      <c r="BD32" s="36">
        <f t="shared" si="17"/>
        <v>0</v>
      </c>
    </row>
    <row r="33" spans="1:56" hidden="1" x14ac:dyDescent="0.3">
      <c r="A33" s="257">
        <f t="shared" si="0"/>
        <v>1</v>
      </c>
      <c r="B33" s="393">
        <v>2026</v>
      </c>
      <c r="C33" s="344">
        <f>'2-energy assessment'!BJ42</f>
        <v>413028.74496250169</v>
      </c>
      <c r="D33" s="344">
        <f>('2-energy assessment'!BH42+SUM($I$27:$I32))*FurnaceReplaceRate*TrueReplaceFurnace</f>
        <v>12745.223009600533</v>
      </c>
      <c r="E33" s="344">
        <f>('2-energy assessment'!BI42+SUM($J$27:$J32))*TrueReplaceFurnace*(FurnaceReplaceRate+('Appliance Stock Profile'!$H$16-FurnaceReplaceRate)*TrueReplaceFurnaceAC)</f>
        <v>474.97866338166529</v>
      </c>
      <c r="F33" s="344">
        <f>('2-energy assessment'!AG42+'2-energy assessment'!AN42+SUM(L$27:L32))*DHWReplaceRate*TrueReplaceDHW</f>
        <v>24063.593050531377</v>
      </c>
      <c r="G33" s="344">
        <f t="shared" si="1"/>
        <v>37283.794723513573</v>
      </c>
      <c r="H33" s="207">
        <f t="shared" si="2"/>
        <v>33555.415251162216</v>
      </c>
      <c r="I33" s="347">
        <f t="shared" si="3"/>
        <v>-11470.700708640481</v>
      </c>
      <c r="J33" s="347">
        <f t="shared" si="4"/>
        <v>-427.48079704349874</v>
      </c>
      <c r="K33" s="347">
        <f t="shared" si="5"/>
        <v>-11898.181505683981</v>
      </c>
      <c r="L33" s="347">
        <f t="shared" si="6"/>
        <v>-21657.233745478239</v>
      </c>
      <c r="M33" s="347"/>
      <c r="N33" s="347">
        <f t="shared" si="7"/>
        <v>11470.700708640481</v>
      </c>
      <c r="O33" s="347">
        <f t="shared" si="8"/>
        <v>11898.181505683981</v>
      </c>
      <c r="P33" s="347">
        <f t="shared" si="9"/>
        <v>21657.233745478239</v>
      </c>
      <c r="Q33" s="263"/>
      <c r="R33" s="347">
        <f t="shared" si="14"/>
        <v>-3827.5703471188554</v>
      </c>
      <c r="S33" s="347">
        <f>MIN($K33*('2-energy assessment'!$AM42+SUM($S$27:$S32))/('2-energy assessment'!$AM42+'2-energy assessment'!$AF42+SUM($R$27:R32)+SUM(S$27:S32)),0)</f>
        <v>-8070.6111585651252</v>
      </c>
      <c r="T33" s="347">
        <f t="shared" si="15"/>
        <v>-11747.35122209045</v>
      </c>
      <c r="U33" s="347">
        <f>MIN($L33*('2-energy assessment'!$AN42+SUM($U$27:$U32))/('2-energy assessment'!$AN42+'2-energy assessment'!$AG42+SUM($L$27:L32)),0)</f>
        <v>-9909.8825233877888</v>
      </c>
      <c r="V33" s="344">
        <f>'2-energy assessment'!AM42+'2-energy assessment'!AF42+SUM(K$27:K33)</f>
        <v>247197.26689263544</v>
      </c>
      <c r="W33" s="344">
        <f>SUM(L$27:L33)+'2-energy assessment'!AG42+'2-energy assessment'!AN42</f>
        <v>243042.28981036693</v>
      </c>
      <c r="X33" s="394">
        <f>MAX('2-energy assessment'!AF42+SUM(R$27:R33),0)</f>
        <v>79521.809966932895</v>
      </c>
      <c r="Y33" s="394">
        <f>MAX('2-energy assessment'!AG42+SUM(T$27:T33),0)</f>
        <v>131831.38593679285</v>
      </c>
      <c r="Z33" s="395">
        <f>'2-energy assessment'!AH42</f>
        <v>0</v>
      </c>
      <c r="AA33" s="395">
        <f>'2-energy assessment'!AI42+SUM(N$27:N33)</f>
        <v>113706.49241782422</v>
      </c>
      <c r="AB33" s="395">
        <f>'2-energy assessment'!$AJ42+SUM($O$27:$O33)</f>
        <v>114023.08369876549</v>
      </c>
      <c r="AC33" s="395">
        <f>'2-energy assessment'!$AK42+SUM($P$27:$P33)</f>
        <v>160515.66074142864</v>
      </c>
      <c r="AD33" s="395">
        <f>'2-energy assessment'!$AL42+SUM($Q$27:$Q33)</f>
        <v>9605.3447214596345</v>
      </c>
      <c r="AE33" s="396">
        <f>MAX('2-energy assessment'!AM42+SUM(S$27:S33),0)</f>
        <v>167675.45692570257</v>
      </c>
      <c r="AF33" s="396">
        <f>MAX('2-energy assessment'!AN42+SUM(U$27:U33),0)</f>
        <v>111210.90387357406</v>
      </c>
      <c r="AG33" s="396">
        <f>'2-energy assessment'!AO42</f>
        <v>413028.74496250169</v>
      </c>
      <c r="AH33" s="396">
        <f>'2-energy assessment'!AP42</f>
        <v>65791.591379581107</v>
      </c>
      <c r="AI33" s="396">
        <f>'2-energy assessment'!AQ42</f>
        <v>61711.492689374521</v>
      </c>
      <c r="AJ33" s="396">
        <f>'2-energy assessment'!AR42</f>
        <v>19373.892728979958</v>
      </c>
      <c r="AK33" s="396">
        <f>'2-energy assessment'!AS42</f>
        <v>413326.49855931586</v>
      </c>
      <c r="AL33" s="349">
        <f>IFERROR(AE33*'2-energy assessment'!AT42/'2-energy assessment'!AM42,0)</f>
        <v>165244.35055432559</v>
      </c>
      <c r="AM33" s="349">
        <f>IFERROR(AF33*'2-energy assessment'!AU42/'2-energy assessment'!AN42,0)</f>
        <v>109431.14793059054</v>
      </c>
      <c r="AN33" s="349">
        <f>IFERROR(AG33*'2-energy assessment'!AV42/'2-energy assessment'!AO42,0)</f>
        <v>407371.42662303284</v>
      </c>
      <c r="AO33" s="349">
        <f>IFERROR(AH33*'2-energy assessment'!AW42/'2-energy assessment'!AP42,0)</f>
        <v>64697.904113709155</v>
      </c>
      <c r="AP33" s="349">
        <f>IFERROR(AI33*'2-energy assessment'!AX42/'2-energy assessment'!AQ42,0)</f>
        <v>60685.630990378348</v>
      </c>
      <c r="AQ33" s="349">
        <f>IFERROR(AJ33*'2-energy assessment'!AY42/'2-energy assessment'!AR42,0)</f>
        <v>19024.231397472282</v>
      </c>
      <c r="AR33" s="349">
        <f>IFERROR(AK33*'2-energy assessment'!AZ42/'2-energy assessment'!AS42,0)</f>
        <v>407371.42662303289</v>
      </c>
      <c r="AS33" s="344">
        <f>R33*'Appliance Stock Profile'!$B$21+S33*'Appliance Stock Profile'!$B$20+T33*'Appliance Stock Profile'!$C$21+U33*'Appliance Stock Profile'!$C$20</f>
        <v>-7085955.7537138266</v>
      </c>
      <c r="AT33" s="344">
        <f t="shared" si="10"/>
        <v>35323066.682479143</v>
      </c>
      <c r="AU33" s="344">
        <f>GasEmissions*AS33+'stock-flow model'!$B8*(AT33)/1000</f>
        <v>-36774.062151474653</v>
      </c>
      <c r="AV33" s="344">
        <f>MAX(GasEmissions*SUM($AS$27:$AS33)+'stock-flow model'!$B8*SUM($AT$27:$AT33)/1000,-'2-energy assessment'!BG42)</f>
        <v>-226379.81556457395</v>
      </c>
      <c r="AW33" s="343">
        <f>'2-energy assessment'!BG42+AV33</f>
        <v>678417.58962141862</v>
      </c>
      <c r="AX33" s="344">
        <f>C33+SUM(M$27:M33)</f>
        <v>413028.74496250169</v>
      </c>
      <c r="AY33" s="344">
        <f>'2-energy assessment'!BK42-SUM(M$27:M33)</f>
        <v>9903.0983182737837</v>
      </c>
      <c r="AZ33" s="344">
        <f t="shared" si="11"/>
        <v>243433.75948337014</v>
      </c>
      <c r="BA33" s="344">
        <f t="shared" si="12"/>
        <v>3763.5074092653158</v>
      </c>
      <c r="BB33" s="36">
        <f t="shared" si="13"/>
        <v>-37696.145193262259</v>
      </c>
      <c r="BC33" s="36">
        <f t="shared" si="16"/>
        <v>-226379.81556457392</v>
      </c>
      <c r="BD33" s="36">
        <f t="shared" si="17"/>
        <v>0</v>
      </c>
    </row>
    <row r="34" spans="1:56" hidden="1" x14ac:dyDescent="0.3">
      <c r="A34" s="257">
        <f t="shared" si="0"/>
        <v>1</v>
      </c>
      <c r="B34" s="393">
        <v>2027</v>
      </c>
      <c r="C34" s="344">
        <f>'2-energy assessment'!BJ43</f>
        <v>412977.14801012794</v>
      </c>
      <c r="D34" s="344">
        <f>('2-energy assessment'!BH43+SUM($I$27:$I33))*FurnaceReplaceRate*TrueReplaceFurnace</f>
        <v>12170.332075472004</v>
      </c>
      <c r="E34" s="344">
        <f>('2-energy assessment'!BI43+SUM($J$27:$J33))*TrueReplaceFurnace*(FurnaceReplaceRate+('Appliance Stock Profile'!$H$16-FurnaceReplaceRate)*TrueReplaceFurnaceAC)</f>
        <v>423.72867947404973</v>
      </c>
      <c r="F34" s="344">
        <f>('2-energy assessment'!AG43+'2-energy assessment'!AN43+SUM(L$27:L33))*DHWReplaceRate*TrueReplaceDHW</f>
        <v>22090.810944426117</v>
      </c>
      <c r="G34" s="344">
        <f t="shared" si="1"/>
        <v>34684.871699372175</v>
      </c>
      <c r="H34" s="207">
        <f t="shared" si="2"/>
        <v>31216.384529434959</v>
      </c>
      <c r="I34" s="347">
        <f t="shared" si="3"/>
        <v>-10953.298867924805</v>
      </c>
      <c r="J34" s="347">
        <f t="shared" si="4"/>
        <v>-381.35581152664474</v>
      </c>
      <c r="K34" s="347">
        <f t="shared" si="5"/>
        <v>-11334.654679451449</v>
      </c>
      <c r="L34" s="347">
        <f t="shared" si="6"/>
        <v>-19881.729849983505</v>
      </c>
      <c r="M34" s="347"/>
      <c r="N34" s="347">
        <f t="shared" si="7"/>
        <v>10953.298867924805</v>
      </c>
      <c r="O34" s="347">
        <f t="shared" si="8"/>
        <v>11334.654679451449</v>
      </c>
      <c r="P34" s="347">
        <f t="shared" si="9"/>
        <v>19881.729849983505</v>
      </c>
      <c r="Q34" s="263"/>
      <c r="R34" s="347">
        <f t="shared" si="14"/>
        <v>-4148.7629332080369</v>
      </c>
      <c r="S34" s="347">
        <f>MIN($K34*('2-energy assessment'!$AM43+SUM($S$27:$S33))/('2-energy assessment'!$AM43+'2-energy assessment'!$AF43+SUM($R$27:R33)+SUM(S$27:S33)),0)</f>
        <v>-7185.8917462434119</v>
      </c>
      <c r="T34" s="347">
        <f t="shared" si="15"/>
        <v>-12209.214885583981</v>
      </c>
      <c r="U34" s="347">
        <f>MIN($L34*('2-energy assessment'!$AN43+SUM($U$27:$U33))/('2-energy assessment'!$AN43+'2-energy assessment'!$AG43+SUM($L$27:L33)),0)</f>
        <v>-7672.5149643995255</v>
      </c>
      <c r="V34" s="344">
        <f>'2-energy assessment'!AM43+'2-energy assessment'!AF43+SUM(K$27:K34)</f>
        <v>235810.7692959361</v>
      </c>
      <c r="W34" s="344">
        <f>SUM(L$27:L34)+'2-energy assessment'!AG43+'2-energy assessment'!AN43</f>
        <v>223117.19053870378</v>
      </c>
      <c r="X34" s="394">
        <f>MAX('2-energy assessment'!AF43+SUM(R$27:R34),0)</f>
        <v>86312.552660280868</v>
      </c>
      <c r="Y34" s="394">
        <f>MAX('2-energy assessment'!AG43+SUM(T$27:T34),0)</f>
        <v>137014.52260488691</v>
      </c>
      <c r="Z34" s="395">
        <f>'2-energy assessment'!AH43</f>
        <v>0</v>
      </c>
      <c r="AA34" s="395">
        <f>'2-energy assessment'!AI43+SUM(N$27:N34)</f>
        <v>130673.90613856114</v>
      </c>
      <c r="AB34" s="395">
        <f>'2-energy assessment'!$AJ43+SUM($O$27:$O34)</f>
        <v>131124.57159499975</v>
      </c>
      <c r="AC34" s="395">
        <f>'2-energy assessment'!$AK43+SUM($P$27:$P34)</f>
        <v>183979.04007289969</v>
      </c>
      <c r="AD34" s="395">
        <f>'2-energy assessment'!$AL43+SUM($Q$27:$Q34)</f>
        <v>11206.235508369573</v>
      </c>
      <c r="AE34" s="396">
        <f>MAX('2-energy assessment'!AM43+SUM(S$27:S34),0)</f>
        <v>149498.21663565523</v>
      </c>
      <c r="AF34" s="396">
        <f>MAX('2-energy assessment'!AN43+SUM(U$27:U34),0)</f>
        <v>86102.667933816905</v>
      </c>
      <c r="AG34" s="396">
        <f>'2-energy assessment'!AO43</f>
        <v>412977.14801012794</v>
      </c>
      <c r="AH34" s="396">
        <f>'2-energy assessment'!AP43</f>
        <v>61405.48528760903</v>
      </c>
      <c r="AI34" s="396">
        <f>'2-energy assessment'!AQ43</f>
        <v>57597.393176749552</v>
      </c>
      <c r="AJ34" s="396">
        <f>'2-energy assessment'!AR43</f>
        <v>17436.503456081962</v>
      </c>
      <c r="AK34" s="396">
        <f>'2-energy assessment'!AS43</f>
        <v>413326.49855931586</v>
      </c>
      <c r="AL34" s="349">
        <f>IFERROR(AE34*'2-energy assessment'!AT43/'2-energy assessment'!AM43,0)</f>
        <v>146879.20167540759</v>
      </c>
      <c r="AM34" s="349">
        <f>IFERROR(AF34*'2-energy assessment'!AU43/'2-energy assessment'!AN43,0)</f>
        <v>84392.361636347661</v>
      </c>
      <c r="AN34" s="349">
        <f>IFERROR(AG34*'2-energy assessment'!AV43/'2-energy assessment'!AO43,0)</f>
        <v>406339.4875755579</v>
      </c>
      <c r="AO34" s="349">
        <f>IFERROR(AH34*'2-energy assessment'!AW43/'2-energy assessment'!AP43,0)</f>
        <v>60161.219484868554</v>
      </c>
      <c r="AP34" s="349">
        <f>IFERROR(AI34*'2-energy assessment'!AX43/'2-energy assessment'!AQ43,0)</f>
        <v>56430.291144721661</v>
      </c>
      <c r="AQ34" s="349">
        <f>IFERROR(AJ34*'2-energy assessment'!AY43/'2-energy assessment'!AR43,0)</f>
        <v>17044.181952415358</v>
      </c>
      <c r="AR34" s="349">
        <f>IFERROR(AK34*'2-energy assessment'!AZ43/'2-energy assessment'!AS43,0)</f>
        <v>406339.48757555796</v>
      </c>
      <c r="AS34" s="344">
        <f>R34*'Appliance Stock Profile'!$B$21+S34*'Appliance Stock Profile'!$B$20+T34*'Appliance Stock Profile'!$C$21+U34*'Appliance Stock Profile'!$C$20</f>
        <v>-6427034.3116388302</v>
      </c>
      <c r="AT34" s="344">
        <f t="shared" si="10"/>
        <v>33124886.871457942</v>
      </c>
      <c r="AU34" s="344">
        <f>GasEmissions*AS34+'stock-flow model'!$B9*(AT34)/1000</f>
        <v>-33513.62948006091</v>
      </c>
      <c r="AV34" s="344">
        <f>MAX(GasEmissions*SUM($AS$27:$AS34)+'stock-flow model'!$B9*SUM($AT$27:$AT34)/1000,-'2-energy assessment'!BG43)</f>
        <v>-261010.90392222468</v>
      </c>
      <c r="AW34" s="343">
        <f>'2-energy assessment'!BG43+AV34</f>
        <v>616226.62531698903</v>
      </c>
      <c r="AX34" s="344">
        <f>C34+SUM(M$27:M34)</f>
        <v>412977.14801012794</v>
      </c>
      <c r="AY34" s="344">
        <f>'2-energy assessment'!BK43-SUM(M$27:M34)</f>
        <v>11555.58605755747</v>
      </c>
      <c r="AZ34" s="344">
        <f t="shared" si="11"/>
        <v>232453.34264151522</v>
      </c>
      <c r="BA34" s="344">
        <f t="shared" si="12"/>
        <v>3357.4266544208658</v>
      </c>
      <c r="BB34" s="36">
        <f t="shared" si="13"/>
        <v>-34631.088357650733</v>
      </c>
      <c r="BC34" s="36">
        <f t="shared" si="16"/>
        <v>-261010.90392222465</v>
      </c>
      <c r="BD34" s="36">
        <f t="shared" si="17"/>
        <v>0</v>
      </c>
    </row>
    <row r="35" spans="1:56" hidden="1" x14ac:dyDescent="0.3">
      <c r="A35" s="257">
        <f t="shared" si="0"/>
        <v>1</v>
      </c>
      <c r="B35" s="393">
        <v>2028</v>
      </c>
      <c r="C35" s="344">
        <f>'2-energy assessment'!BJ44</f>
        <v>412927.92251918436</v>
      </c>
      <c r="D35" s="344">
        <f>('2-energy assessment'!BH44+SUM($I$27:$I34))*FurnaceReplaceRate*TrueReplaceFurnace</f>
        <v>11621.49880509403</v>
      </c>
      <c r="E35" s="344">
        <f>('2-energy assessment'!BI44+SUM($J$27:$J34))*TrueReplaceFurnace*(FurnaceReplaceRate+('Appliance Stock Profile'!$H$16-FurnaceReplaceRate)*TrueReplaceFurnaceAC)</f>
        <v>377.83256297359623</v>
      </c>
      <c r="F35" s="344">
        <f>('2-energy assessment'!AG44+'2-energy assessment'!AN44+SUM(L$27:L34))*DHWReplaceRate*TrueReplaceDHW</f>
        <v>20279.962626458881</v>
      </c>
      <c r="G35" s="344">
        <f t="shared" si="1"/>
        <v>32279.293994526506</v>
      </c>
      <c r="H35" s="207">
        <f t="shared" si="2"/>
        <v>29051.364595073857</v>
      </c>
      <c r="I35" s="347">
        <f t="shared" si="3"/>
        <v>-10459.348924584627</v>
      </c>
      <c r="J35" s="347">
        <f t="shared" si="4"/>
        <v>-340.0493066762366</v>
      </c>
      <c r="K35" s="347">
        <f t="shared" si="5"/>
        <v>-10799.398231260864</v>
      </c>
      <c r="L35" s="347">
        <f t="shared" si="6"/>
        <v>-18251.966363812993</v>
      </c>
      <c r="M35" s="347"/>
      <c r="N35" s="347">
        <f t="shared" si="7"/>
        <v>10459.348924584627</v>
      </c>
      <c r="O35" s="347">
        <f t="shared" si="8"/>
        <v>10799.398231260864</v>
      </c>
      <c r="P35" s="347">
        <f t="shared" si="9"/>
        <v>18251.966363812993</v>
      </c>
      <c r="Q35" s="263"/>
      <c r="R35" s="347">
        <f t="shared" si="14"/>
        <v>-4429.6738265444892</v>
      </c>
      <c r="S35" s="347">
        <f>MIN($K35*('2-energy assessment'!$AM44+SUM($S$27:$S34))/('2-energy assessment'!$AM44+'2-energy assessment'!$AF44+SUM($R$27:R34)+SUM(S$27:S34)),0)</f>
        <v>-6369.7244047163749</v>
      </c>
      <c r="T35" s="347">
        <f t="shared" si="15"/>
        <v>-12503.925105549437</v>
      </c>
      <c r="U35" s="347">
        <f>MIN($L35*('2-energy assessment'!$AN44+SUM($U$27:$U34))/('2-energy assessment'!$AN44+'2-energy assessment'!$AG44+SUM($L$27:L34)),0)</f>
        <v>-5748.0412582635563</v>
      </c>
      <c r="V35" s="344">
        <f>'2-energy assessment'!AM44+'2-energy assessment'!AF44+SUM(K$27:K35)</f>
        <v>224964.39460273975</v>
      </c>
      <c r="W35" s="344">
        <f>SUM(L$27:L35)+'2-energy assessment'!AG44+'2-energy assessment'!AN44</f>
        <v>204827.62252723472</v>
      </c>
      <c r="X35" s="394">
        <f>MAX('2-energy assessment'!AF44+SUM(R$27:R35),0)</f>
        <v>92275.409178964561</v>
      </c>
      <c r="Y35" s="394">
        <f>MAX('2-energy assessment'!AG44+SUM(T$27:T35),0)</f>
        <v>140321.82618449928</v>
      </c>
      <c r="Z35" s="395">
        <f>'2-energy assessment'!AH44</f>
        <v>0</v>
      </c>
      <c r="AA35" s="395">
        <f>'2-energy assessment'!AI44+SUM(N$27:N35)</f>
        <v>146851.21140886427</v>
      </c>
      <c r="AB35" s="395">
        <f>'2-energy assessment'!$AJ44+SUM($O$27:$O35)</f>
        <v>147411.66328688938</v>
      </c>
      <c r="AC35" s="395">
        <f>'2-energy assessment'!$AK44+SUM($P$27:$P35)</f>
        <v>205613.1492168869</v>
      </c>
      <c r="AD35" s="395">
        <f>'2-energy assessment'!$AL44+SUM($Q$27:$Q35)</f>
        <v>12807.126295279511</v>
      </c>
      <c r="AE35" s="396">
        <f>MAX('2-energy assessment'!AM44+SUM(S$27:S35),0)</f>
        <v>132688.98542377516</v>
      </c>
      <c r="AF35" s="396">
        <f>MAX('2-energy assessment'!AN44+SUM(U$27:U35),0)</f>
        <v>64505.796342735455</v>
      </c>
      <c r="AG35" s="396">
        <f>'2-energy assessment'!AO44</f>
        <v>412927.92251918436</v>
      </c>
      <c r="AH35" s="396">
        <f>'2-energy assessment'!AP44</f>
        <v>57311.786268435098</v>
      </c>
      <c r="AI35" s="396">
        <f>'2-energy assessment'!AQ44</f>
        <v>53757.566964966252</v>
      </c>
      <c r="AJ35" s="396">
        <f>'2-energy assessment'!AR44</f>
        <v>15692.853110473767</v>
      </c>
      <c r="AK35" s="396">
        <f>'2-energy assessment'!AS44</f>
        <v>413326.49855931586</v>
      </c>
      <c r="AL35" s="349">
        <f>IFERROR(AE35*'2-energy assessment'!AT44/'2-energy assessment'!AM44,0)</f>
        <v>129956.13069064563</v>
      </c>
      <c r="AM35" s="349">
        <f>IFERROR(AF35*'2-energy assessment'!AU44/'2-energy assessment'!AN44,0)</f>
        <v>62957.026588643879</v>
      </c>
      <c r="AN35" s="349">
        <f>IFERROR(AG35*'2-energy assessment'!AV44/'2-energy assessment'!AO44,0)</f>
        <v>405354.97775668616</v>
      </c>
      <c r="AO35" s="349">
        <f>IFERROR(AH35*'2-energy assessment'!AW44/'2-energy assessment'!AP44,0)</f>
        <v>55933.97223055685</v>
      </c>
      <c r="AP35" s="349">
        <f>IFERROR(AI35*'2-energy assessment'!AX44/'2-energy assessment'!AQ44,0)</f>
        <v>52465.198758894418</v>
      </c>
      <c r="AQ35" s="349">
        <f>IFERROR(AJ35*'2-energy assessment'!AY44/'2-energy assessment'!AR44,0)</f>
        <v>15264.086995456655</v>
      </c>
      <c r="AR35" s="349">
        <f>IFERROR(AK35*'2-energy assessment'!AZ44/'2-energy assessment'!AS44,0)</f>
        <v>405354.97775668616</v>
      </c>
      <c r="AS35" s="344">
        <f>R35*'Appliance Stock Profile'!$B$21+S35*'Appliance Stock Profile'!$B$20+T35*'Appliance Stock Profile'!$C$21+U35*'Appliance Stock Profile'!$C$20</f>
        <v>-5831961.8158940161</v>
      </c>
      <c r="AT35" s="344">
        <f t="shared" si="10"/>
        <v>31076460.915203728</v>
      </c>
      <c r="AU35" s="344">
        <f>GasEmissions*AS35+'stock-flow model'!$B10*(AT35)/1000</f>
        <v>-30565.622856341783</v>
      </c>
      <c r="AV35" s="344">
        <f>MAX(GasEmissions*SUM($AS$27:$AS35)+'stock-flow model'!$B10*SUM($AT$27:$AT35)/1000,-'2-energy assessment'!BG44)</f>
        <v>-292877.20311336452</v>
      </c>
      <c r="AW35" s="343">
        <f>'2-energy assessment'!BG44+AV35</f>
        <v>557751.08844164736</v>
      </c>
      <c r="AX35" s="344">
        <f>C35+SUM(M$27:M35)</f>
        <v>412927.92251918436</v>
      </c>
      <c r="AY35" s="344">
        <f>'2-energy assessment'!BK44-SUM(M$27:M35)</f>
        <v>13205.702335410997</v>
      </c>
      <c r="AZ35" s="344">
        <f t="shared" si="11"/>
        <v>221970.62717729597</v>
      </c>
      <c r="BA35" s="344">
        <f t="shared" si="12"/>
        <v>2993.767425443737</v>
      </c>
      <c r="BB35" s="36">
        <f t="shared" si="13"/>
        <v>-31866.299191139842</v>
      </c>
      <c r="BC35" s="36">
        <f t="shared" si="16"/>
        <v>-292877.20311336452</v>
      </c>
      <c r="BD35" s="36">
        <f t="shared" si="17"/>
        <v>0</v>
      </c>
    </row>
    <row r="36" spans="1:56" hidden="1" x14ac:dyDescent="0.3">
      <c r="A36" s="257">
        <f t="shared" si="0"/>
        <v>1</v>
      </c>
      <c r="B36" s="393">
        <v>2029</v>
      </c>
      <c r="C36" s="344">
        <f>'2-energy assessment'!BJ45</f>
        <v>412880.9594942932</v>
      </c>
      <c r="D36" s="344">
        <f>('2-energy assessment'!BH45+SUM($I$27:$I35))*FurnaceReplaceRate*TrueReplaceFurnace</f>
        <v>11097.524488417426</v>
      </c>
      <c r="E36" s="344">
        <f>('2-energy assessment'!BI45+SUM($J$27:$J35))*TrueReplaceFurnace*(FurnaceReplaceRate+('Appliance Stock Profile'!$H$16-FurnaceReplaceRate)*TrueReplaceFurnaceAC)</f>
        <v>336.75170105459563</v>
      </c>
      <c r="F36" s="344">
        <f>('2-energy assessment'!AG45+'2-energy assessment'!AN45+SUM(L$27:L35))*DHWReplaceRate*TrueReplaceDHW</f>
        <v>18617.729354648607</v>
      </c>
      <c r="G36" s="344">
        <f t="shared" si="1"/>
        <v>30052.005544120631</v>
      </c>
      <c r="H36" s="207">
        <f t="shared" si="2"/>
        <v>27046.804989708569</v>
      </c>
      <c r="I36" s="347">
        <f t="shared" si="3"/>
        <v>-9987.7720395756842</v>
      </c>
      <c r="J36" s="347">
        <f t="shared" si="4"/>
        <v>-303.0765309491361</v>
      </c>
      <c r="K36" s="347">
        <f t="shared" si="5"/>
        <v>-10290.84857052482</v>
      </c>
      <c r="L36" s="347">
        <f t="shared" si="6"/>
        <v>-16755.956419183745</v>
      </c>
      <c r="M36" s="347"/>
      <c r="N36" s="347">
        <f t="shared" si="7"/>
        <v>9987.7720395756842</v>
      </c>
      <c r="O36" s="347">
        <f t="shared" si="8"/>
        <v>10290.84857052482</v>
      </c>
      <c r="P36" s="347">
        <f t="shared" si="9"/>
        <v>16755.956419183745</v>
      </c>
      <c r="Q36" s="263"/>
      <c r="R36" s="347">
        <f t="shared" si="14"/>
        <v>-4673.5918376663858</v>
      </c>
      <c r="S36" s="347">
        <f>MIN($K36*('2-energy assessment'!$AM45+SUM($S$27:$S35))/('2-energy assessment'!$AM45+'2-energy assessment'!$AF45+SUM($R$27:R35)+SUM(S$27:S35)),0)</f>
        <v>-5617.2567328584346</v>
      </c>
      <c r="T36" s="347">
        <f t="shared" si="15"/>
        <v>-12656.918490851232</v>
      </c>
      <c r="U36" s="347">
        <f>MIN($L36*('2-energy assessment'!$AN45+SUM($U$27:$U35))/('2-energy assessment'!$AN45+'2-energy assessment'!$AG45+SUM($L$27:L35)),0)</f>
        <v>-4099.0379283325128</v>
      </c>
      <c r="V36" s="344">
        <f>'2-energy assessment'!AM45+'2-energy assessment'!AF45+SUM(K$27:K36)</f>
        <v>214630.97973654076</v>
      </c>
      <c r="W36" s="344">
        <f>SUM(L$27:L36)+'2-energy assessment'!AG45+'2-energy assessment'!AN45</f>
        <v>188039.0664819509</v>
      </c>
      <c r="X36" s="394">
        <f>MAX('2-energy assessment'!AF45+SUM(R$27:R36),0)</f>
        <v>97474.721169264958</v>
      </c>
      <c r="Y36" s="394">
        <f>MAX('2-energy assessment'!AG45+SUM(T$27:T36),0)</f>
        <v>142038.75195288606</v>
      </c>
      <c r="Z36" s="395">
        <f>'2-energy assessment'!AH45</f>
        <v>0</v>
      </c>
      <c r="AA36" s="395">
        <f>'2-energy assessment'!AI45+SUM(N$27:N36)</f>
        <v>162280.7973955264</v>
      </c>
      <c r="AB36" s="395">
        <f>'2-energy assessment'!$AJ45+SUM($O$27:$O36)</f>
        <v>162929.80673766276</v>
      </c>
      <c r="AC36" s="395">
        <f>'2-energy assessment'!$AK45+SUM($P$27:$P36)</f>
        <v>225571.88136012803</v>
      </c>
      <c r="AD36" s="395">
        <f>'2-energy assessment'!$AL45+SUM($Q$27:$Q36)</f>
        <v>14408.01708218945</v>
      </c>
      <c r="AE36" s="396">
        <f>MAX('2-energy assessment'!AM45+SUM(S$27:S36),0)</f>
        <v>117156.25856727573</v>
      </c>
      <c r="AF36" s="396">
        <f>MAX('2-energy assessment'!AN45+SUM(U$27:U36),0)</f>
        <v>46000.314529064854</v>
      </c>
      <c r="AG36" s="396">
        <f>'2-energy assessment'!AO45</f>
        <v>412880.9594942932</v>
      </c>
      <c r="AH36" s="396">
        <f>'2-energy assessment'!AP45</f>
        <v>53491.000517206092</v>
      </c>
      <c r="AI36" s="396">
        <f>'2-energy assessment'!AQ45</f>
        <v>50173.729167301834</v>
      </c>
      <c r="AJ36" s="396">
        <f>'2-energy assessment'!AR45</f>
        <v>14123.56779942639</v>
      </c>
      <c r="AK36" s="396">
        <f>'2-energy assessment'!AS45</f>
        <v>413326.49855931586</v>
      </c>
      <c r="AL36" s="349">
        <f>IFERROR(AE36*'2-energy assessment'!AT45/'2-energy assessment'!AM45,0)</f>
        <v>114375.15649890402</v>
      </c>
      <c r="AM36" s="349">
        <f>IFERROR(AF36*'2-energy assessment'!AU45/'2-energy assessment'!AN45,0)</f>
        <v>44690.413290710887</v>
      </c>
      <c r="AN36" s="349">
        <f>IFERROR(AG36*'2-energy assessment'!AV45/'2-energy assessment'!AO45,0)</f>
        <v>404415.71725886257</v>
      </c>
      <c r="AO36" s="349">
        <f>IFERROR(AH36*'2-energy assessment'!AW45/'2-energy assessment'!AP45,0)</f>
        <v>51994.762285267316</v>
      </c>
      <c r="AP36" s="349">
        <f>IFERROR(AI36*'2-energy assessment'!AX45/'2-energy assessment'!AQ45,0)</f>
        <v>48770.280903235231</v>
      </c>
      <c r="AQ36" s="349">
        <f>IFERROR(AJ36*'2-energy assessment'!AY45/'2-energy assessment'!AR45,0)</f>
        <v>13663.681041787697</v>
      </c>
      <c r="AR36" s="349">
        <f>IFERROR(AK36*'2-energy assessment'!AZ45/'2-energy assessment'!AS45,0)</f>
        <v>404415.71725886257</v>
      </c>
      <c r="AS36" s="344">
        <f>R36*'Appliance Stock Profile'!$B$21+S36*'Appliance Stock Profile'!$B$20+T36*'Appliance Stock Profile'!$C$21+U36*'Appliance Stock Profile'!$C$20</f>
        <v>-5294453.8852518331</v>
      </c>
      <c r="AT36" s="344">
        <f t="shared" si="10"/>
        <v>29166788.719292931</v>
      </c>
      <c r="AU36" s="344">
        <f>GasEmissions*AS36+'stock-flow model'!$B11*(AT36)/1000</f>
        <v>-27899.28081856628</v>
      </c>
      <c r="AV36" s="344">
        <f>MAX(GasEmissions*SUM($AS$27:$AS36)+'stock-flow model'!$B11*SUM($AT$27:$AT36)/1000,-'2-energy assessment'!BG45)</f>
        <v>-322249.04765067721</v>
      </c>
      <c r="AW36" s="343">
        <f>'2-energy assessment'!BG45+AV36</f>
        <v>502624.80672588601</v>
      </c>
      <c r="AX36" s="344">
        <f>C36+SUM(M$27:M36)</f>
        <v>412880.9594942932</v>
      </c>
      <c r="AY36" s="344">
        <f>'2-energy assessment'!BK45-SUM(M$27:M36)</f>
        <v>14853.556147212115</v>
      </c>
      <c r="AZ36" s="344">
        <f t="shared" si="11"/>
        <v>211962.71772877278</v>
      </c>
      <c r="BA36" s="344">
        <f t="shared" si="12"/>
        <v>2668.2620077679021</v>
      </c>
      <c r="BB36" s="36">
        <f t="shared" si="13"/>
        <v>-29371.844537312689</v>
      </c>
      <c r="BC36" s="36">
        <f t="shared" si="16"/>
        <v>-322249.04765067721</v>
      </c>
      <c r="BD36" s="36">
        <f t="shared" si="17"/>
        <v>0</v>
      </c>
    </row>
    <row r="37" spans="1:56" hidden="1" x14ac:dyDescent="0.3">
      <c r="A37" s="257">
        <f t="shared" si="0"/>
        <v>1</v>
      </c>
      <c r="B37" s="393">
        <v>2030</v>
      </c>
      <c r="C37" s="344">
        <f>'2-energy assessment'!BJ46</f>
        <v>412836.1549496426</v>
      </c>
      <c r="D37" s="344">
        <f>('2-energy assessment'!BH46+SUM($I$27:$I36))*FurnaceReplaceRate*TrueReplaceFurnace</f>
        <v>10597.268028935747</v>
      </c>
      <c r="E37" s="344">
        <f>('2-energy assessment'!BI46+SUM($J$27:$J36))*TrueReplaceFurnace*(FurnaceReplaceRate+('Appliance Stock Profile'!$H$16-FurnaceReplaceRate)*TrueReplaceFurnaceAC)</f>
        <v>299.99894306823626</v>
      </c>
      <c r="F37" s="344">
        <f>('2-energy assessment'!AG46+'2-energy assessment'!AN46+SUM(L$27:L36))*DHWReplaceRate*TrueReplaceDHW</f>
        <v>17091.891338336449</v>
      </c>
      <c r="G37" s="344">
        <f t="shared" si="1"/>
        <v>27989.15831034043</v>
      </c>
      <c r="H37" s="207">
        <f t="shared" si="2"/>
        <v>25190.242479306387</v>
      </c>
      <c r="I37" s="347">
        <f t="shared" si="3"/>
        <v>-9537.5412260421726</v>
      </c>
      <c r="J37" s="347">
        <f t="shared" si="4"/>
        <v>-269.99904876141267</v>
      </c>
      <c r="K37" s="347">
        <f t="shared" si="5"/>
        <v>-9807.5402748035849</v>
      </c>
      <c r="L37" s="347">
        <f t="shared" si="6"/>
        <v>-15382.702204502804</v>
      </c>
      <c r="M37" s="347"/>
      <c r="N37" s="347">
        <f t="shared" si="7"/>
        <v>9537.5412260421726</v>
      </c>
      <c r="O37" s="347">
        <f t="shared" si="8"/>
        <v>9807.5402748035849</v>
      </c>
      <c r="P37" s="347">
        <f t="shared" si="9"/>
        <v>15382.702204502804</v>
      </c>
      <c r="Q37" s="263"/>
      <c r="R37" s="347">
        <f t="shared" si="14"/>
        <v>-4883.5590694739585</v>
      </c>
      <c r="S37" s="347">
        <f>MIN($K37*('2-energy assessment'!$AM46+SUM($S$27:$S36))/('2-energy assessment'!$AM46+'2-energy assessment'!$AF46+SUM($R$27:R36)+SUM(S$27:S36)),0)</f>
        <v>-4923.9812053296264</v>
      </c>
      <c r="T37" s="347">
        <f t="shared" si="15"/>
        <v>-12690.481344353011</v>
      </c>
      <c r="U37" s="347">
        <f>MIN($L37*('2-energy assessment'!$AN46+SUM($U$27:$U36))/('2-energy assessment'!$AN46+'2-energy assessment'!$AG46+SUM($L$27:L36)),0)</f>
        <v>-2692.2208601497941</v>
      </c>
      <c r="V37" s="344">
        <f>'2-energy assessment'!AM46+'2-energy assessment'!AF46+SUM(K$27:K37)</f>
        <v>204784.86980157229</v>
      </c>
      <c r="W37" s="344">
        <f>SUM(L$27:L37)+'2-energy assessment'!AG46+'2-energy assessment'!AN46</f>
        <v>172628.10251719813</v>
      </c>
      <c r="X37" s="394">
        <f>MAX('2-energy assessment'!AF46+SUM(R$27:R37),0)</f>
        <v>101970.42073635946</v>
      </c>
      <c r="Y37" s="394">
        <f>MAX('2-energy assessment'!AG46+SUM(T$27:T37),0)</f>
        <v>142415.40175329486</v>
      </c>
      <c r="Z37" s="395">
        <f>'2-energy assessment'!AH46</f>
        <v>0</v>
      </c>
      <c r="AA37" s="395">
        <f>'2-energy assessment'!AI46+SUM(N$27:N37)</f>
        <v>177002.65325968349</v>
      </c>
      <c r="AB37" s="395">
        <f>'2-energy assessment'!$AJ46+SUM($O$27:$O37)</f>
        <v>177721.72273736127</v>
      </c>
      <c r="AC37" s="395">
        <f>'2-energy assessment'!$AK46+SUM($P$27:$P37)</f>
        <v>243996.09289173339</v>
      </c>
      <c r="AD37" s="395">
        <f>'2-energy assessment'!$AL46+SUM($Q$27:$Q37)</f>
        <v>16008.907869099388</v>
      </c>
      <c r="AE37" s="396">
        <f>MAX('2-energy assessment'!AM46+SUM(S$27:S37),0)</f>
        <v>102814.44906521277</v>
      </c>
      <c r="AF37" s="396">
        <f>MAX('2-energy assessment'!AN46+SUM(U$27:U37),0)</f>
        <v>30212.700763903238</v>
      </c>
      <c r="AG37" s="396">
        <f>'2-energy assessment'!AO46</f>
        <v>412836.1549496426</v>
      </c>
      <c r="AH37" s="396">
        <f>'2-energy assessment'!AP46</f>
        <v>49924.93381605902</v>
      </c>
      <c r="AI37" s="396">
        <f>'2-energy assessment'!AQ46</f>
        <v>46828.813889481709</v>
      </c>
      <c r="AJ37" s="396">
        <f>'2-energy assessment'!AR46</f>
        <v>12711.211019483751</v>
      </c>
      <c r="AK37" s="396">
        <f>'2-energy assessment'!AS46</f>
        <v>413326.49855931586</v>
      </c>
      <c r="AL37" s="349">
        <f>IFERROR(AE37*'2-energy assessment'!AT46/'2-energy assessment'!AM46,0)</f>
        <v>100043.17954416396</v>
      </c>
      <c r="AM37" s="349">
        <f>IFERROR(AF37*'2-energy assessment'!AU46/'2-energy assessment'!AN46,0)</f>
        <v>29206.643482344334</v>
      </c>
      <c r="AN37" s="349">
        <f>IFERROR(AG37*'2-energy assessment'!AV46/'2-energy assessment'!AO46,0)</f>
        <v>403519.62636585068</v>
      </c>
      <c r="AO37" s="349">
        <f>IFERROR(AH37*'2-energy assessment'!AW46/'2-energy assessment'!AP46,0)</f>
        <v>48323.702284090752</v>
      </c>
      <c r="AP37" s="349">
        <f>IFERROR(AI37*'2-energy assessment'!AX46/'2-energy assessment'!AQ46,0)</f>
        <v>45326.883537790542</v>
      </c>
      <c r="AQ37" s="349">
        <f>IFERROR(AJ37*'2-energy assessment'!AY46/'2-energy assessment'!AR46,0)</f>
        <v>12224.763419177963</v>
      </c>
      <c r="AR37" s="349">
        <f>IFERROR(AK37*'2-energy assessment'!AZ46/'2-energy assessment'!AS46,0)</f>
        <v>403519.62636585062</v>
      </c>
      <c r="AS37" s="344">
        <f>R37*'Appliance Stock Profile'!$B$21+S37*'Appliance Stock Profile'!$B$20+T37*'Appliance Stock Profile'!$C$21+U37*'Appliance Stock Profile'!$C$20</f>
        <v>-4808845.6317676594</v>
      </c>
      <c r="AT37" s="344">
        <f t="shared" si="10"/>
        <v>27385723.405130614</v>
      </c>
      <c r="AU37" s="344">
        <f>GasEmissions*AS37+'stock-flow model'!$B12*(AT37)/1000</f>
        <v>-25486.881848368594</v>
      </c>
      <c r="AV37" s="344">
        <f>MAX(GasEmissions*SUM($AS$27:$AS37)+'stock-flow model'!$B12*SUM($AT$27:$AT37)/1000,-'2-energy assessment'!BG46)</f>
        <v>-349369.81799106055</v>
      </c>
      <c r="AW37" s="343">
        <f>'2-energy assessment'!BG46+AV37</f>
        <v>450517.19052093267</v>
      </c>
      <c r="AX37" s="344">
        <f>C37+SUM(M$27:M37)</f>
        <v>412836.1549496426</v>
      </c>
      <c r="AY37" s="344">
        <f>'2-energy assessment'!BK46-SUM(M$27:M37)</f>
        <v>16499.25147877265</v>
      </c>
      <c r="AZ37" s="344">
        <f t="shared" si="11"/>
        <v>202407.81935267273</v>
      </c>
      <c r="BA37" s="344">
        <f t="shared" si="12"/>
        <v>2377.0504488995284</v>
      </c>
      <c r="BB37" s="36">
        <f t="shared" si="13"/>
        <v>-27120.770340383344</v>
      </c>
      <c r="BC37" s="36">
        <f t="shared" si="16"/>
        <v>-349369.81799106055</v>
      </c>
      <c r="BD37" s="36">
        <f t="shared" si="17"/>
        <v>0</v>
      </c>
    </row>
    <row r="38" spans="1:56" hidden="1" x14ac:dyDescent="0.3">
      <c r="A38" s="257">
        <f t="shared" si="0"/>
        <v>1</v>
      </c>
      <c r="B38" s="393">
        <v>2031</v>
      </c>
      <c r="C38" s="344">
        <f>'2-energy assessment'!BJ47</f>
        <v>412793.40967874066</v>
      </c>
      <c r="D38" s="344">
        <f>('2-energy assessment'!BH47+SUM($I$27:$I37))*FurnaceReplaceRate*TrueReplaceFurnace</f>
        <v>10119.642827720469</v>
      </c>
      <c r="E38" s="344">
        <f>('2-energy assessment'!BI47+SUM($J$27:$J37))*TrueReplaceFurnace*(FurnaceReplaceRate+('Appliance Stock Profile'!$H$16-FurnaceReplaceRate)*TrueReplaceFurnaceAC)</f>
        <v>267.13408369832678</v>
      </c>
      <c r="F38" s="344">
        <f>('2-energy assessment'!AG47+'2-energy assessment'!AN47+SUM(L$27:L37))*DHWReplaceRate*TrueReplaceDHW</f>
        <v>15691.236598981306</v>
      </c>
      <c r="G38" s="344">
        <f t="shared" si="1"/>
        <v>26078.013510400098</v>
      </c>
      <c r="H38" s="207">
        <f t="shared" si="2"/>
        <v>23470.21215936009</v>
      </c>
      <c r="I38" s="347">
        <f t="shared" si="3"/>
        <v>-9107.6785449484214</v>
      </c>
      <c r="J38" s="347">
        <f t="shared" si="4"/>
        <v>-240.4206753284941</v>
      </c>
      <c r="K38" s="347">
        <f t="shared" si="5"/>
        <v>-9348.0992202769157</v>
      </c>
      <c r="L38" s="347">
        <f t="shared" si="6"/>
        <v>-14122.112939083176</v>
      </c>
      <c r="M38" s="347"/>
      <c r="N38" s="347">
        <f t="shared" si="7"/>
        <v>9107.6785449484214</v>
      </c>
      <c r="O38" s="347">
        <f t="shared" si="8"/>
        <v>9348.0992202769157</v>
      </c>
      <c r="P38" s="347">
        <f t="shared" si="9"/>
        <v>14122.112939083176</v>
      </c>
      <c r="Q38" s="263"/>
      <c r="R38" s="347">
        <f t="shared" si="14"/>
        <v>-5062.389908567734</v>
      </c>
      <c r="S38" s="347">
        <f>MIN($K38*('2-energy assessment'!$AM47+SUM($S$27:$S37))/('2-energy assessment'!$AM47+'2-energy assessment'!$AF47+SUM($R$27:R37)+SUM(S$27:S37)),0)</f>
        <v>-4285.7093117091817</v>
      </c>
      <c r="T38" s="347">
        <f t="shared" si="15"/>
        <v>-12624.104608764263</v>
      </c>
      <c r="U38" s="347">
        <f>MIN($L38*('2-energy assessment'!$AN47+SUM($U$27:$U37))/('2-energy assessment'!$AN47+'2-energy assessment'!$AG47+SUM($L$27:L37)),0)</f>
        <v>-1498.0083303189131</v>
      </c>
      <c r="V38" s="344">
        <f>'2-energy assessment'!AM47+'2-energy assessment'!AF47+SUM(K$27:K38)</f>
        <v>195401.82277852949</v>
      </c>
      <c r="W38" s="344">
        <f>SUM(L$27:L38)+'2-energy assessment'!AG47+'2-energy assessment'!AN47</f>
        <v>158481.48964971121</v>
      </c>
      <c r="X38" s="394">
        <f>MAX('2-energy assessment'!AF47+SUM(R$27:R38),0)</f>
        <v>105818.32653253173</v>
      </c>
      <c r="Y38" s="394">
        <f>MAX('2-energy assessment'!AG47+SUM(T$27:T38),0)</f>
        <v>141670.5072761323</v>
      </c>
      <c r="Z38" s="395">
        <f>'2-energy assessment'!AH47</f>
        <v>0</v>
      </c>
      <c r="AA38" s="395">
        <f>'2-energy assessment'!AI47+SUM(N$27:N38)</f>
        <v>191054.51431087582</v>
      </c>
      <c r="AB38" s="395">
        <f>'2-energy assessment'!$AJ47+SUM($O$27:$O38)</f>
        <v>191827.58147327945</v>
      </c>
      <c r="AC38" s="395">
        <f>'2-energy assessment'!$AK47+SUM($P$27:$P38)</f>
        <v>261014.7176480786</v>
      </c>
      <c r="AD38" s="395">
        <f>'2-energy assessment'!$AL47+SUM($Q$27:$Q38)</f>
        <v>17609.798656009327</v>
      </c>
      <c r="AE38" s="396">
        <f>MAX('2-energy assessment'!AM47+SUM(S$27:S38),0)</f>
        <v>89583.496245997696</v>
      </c>
      <c r="AF38" s="396">
        <f>MAX('2-energy assessment'!AN47+SUM(U$27:U38),0)</f>
        <v>16810.98237357891</v>
      </c>
      <c r="AG38" s="396">
        <f>'2-energy assessment'!AO47</f>
        <v>412793.40967874066</v>
      </c>
      <c r="AH38" s="396">
        <f>'2-energy assessment'!AP47</f>
        <v>46596.604894988421</v>
      </c>
      <c r="AI38" s="396">
        <f>'2-energy assessment'!AQ47</f>
        <v>43706.892963516264</v>
      </c>
      <c r="AJ38" s="396">
        <f>'2-energy assessment'!AR47</f>
        <v>11440.089917535377</v>
      </c>
      <c r="AK38" s="396">
        <f>'2-energy assessment'!AS47</f>
        <v>413326.49855931586</v>
      </c>
      <c r="AL38" s="349">
        <f>IFERROR(AE38*'2-energy assessment'!AT47/'2-energy assessment'!AM47,0)</f>
        <v>86873.483864617156</v>
      </c>
      <c r="AM38" s="349">
        <f>IFERROR(AF38*'2-energy assessment'!AU47/'2-energy assessment'!AN47,0)</f>
        <v>16163.418704859123</v>
      </c>
      <c r="AN38" s="349">
        <f>IFERROR(AG38*'2-energy assessment'!AV47/'2-energy assessment'!AO47,0)</f>
        <v>402664.72094781208</v>
      </c>
      <c r="AO38" s="349">
        <f>IFERROR(AH38*'2-energy assessment'!AW47/'2-energy assessment'!AP47,0)</f>
        <v>44902.307013272941</v>
      </c>
      <c r="AP38" s="349">
        <f>IFERROR(AI38*'2-energy assessment'!AX47/'2-energy assessment'!AQ47,0)</f>
        <v>42117.667818651353</v>
      </c>
      <c r="AQ38" s="349">
        <f>IFERROR(AJ38*'2-energy assessment'!AY47/'2-energy assessment'!AR47,0)</f>
        <v>10930.986309940205</v>
      </c>
      <c r="AR38" s="349">
        <f>IFERROR(AK38*'2-energy assessment'!AZ47/'2-energy assessment'!AS47,0)</f>
        <v>402664.72094781208</v>
      </c>
      <c r="AS38" s="344">
        <f>R38*'Appliance Stock Profile'!$B$21+S38*'Appliance Stock Profile'!$B$20+T38*'Appliance Stock Profile'!$C$21+U38*'Appliance Stock Profile'!$C$20</f>
        <v>-4370030.9020266682</v>
      </c>
      <c r="AT38" s="344">
        <f t="shared" si="10"/>
        <v>25723902.779677741</v>
      </c>
      <c r="AU38" s="344">
        <f>GasEmissions*AS38+'stock-flow model'!$B13*(AT38)/1000</f>
        <v>-23161.163780741343</v>
      </c>
      <c r="AV38" s="344">
        <f>MAX(GasEmissions*SUM($AS$27:$AS38)+'stock-flow model'!$B13*SUM($AT$27:$AT38)/1000,-'2-energy assessment'!BG47)</f>
        <v>-372530.98177180195</v>
      </c>
      <c r="AW38" s="343">
        <f>'2-energy assessment'!BG47+AV38</f>
        <v>418479.39998666791</v>
      </c>
      <c r="AX38" s="344">
        <f>C38+SUM(M$27:M38)</f>
        <v>412793.40967874066</v>
      </c>
      <c r="AY38" s="344">
        <f>'2-energy assessment'!BK47-SUM(M$27:M38)</f>
        <v>18142.887536584516</v>
      </c>
      <c r="AZ38" s="344">
        <f t="shared" si="11"/>
        <v>193285.17800946088</v>
      </c>
      <c r="BA38" s="344">
        <f t="shared" si="12"/>
        <v>2116.6447690685236</v>
      </c>
      <c r="BB38" s="36">
        <f t="shared" si="13"/>
        <v>-23161.163780741397</v>
      </c>
      <c r="BC38" s="36">
        <f t="shared" si="16"/>
        <v>-372530.98177180195</v>
      </c>
      <c r="BD38" s="36">
        <f t="shared" si="17"/>
        <v>0</v>
      </c>
    </row>
    <row r="39" spans="1:56" hidden="1" x14ac:dyDescent="0.3">
      <c r="A39" s="257">
        <f t="shared" si="0"/>
        <v>1</v>
      </c>
      <c r="B39" s="393">
        <v>2032</v>
      </c>
      <c r="C39" s="344">
        <f>'2-energy assessment'!BJ48</f>
        <v>412752.62903475179</v>
      </c>
      <c r="D39" s="344">
        <f>('2-energy assessment'!BH48+SUM($I$27:$I38))*FurnaceReplaceRate*TrueReplaceFurnace</f>
        <v>9663.6138836538594</v>
      </c>
      <c r="E39" s="344">
        <f>('2-energy assessment'!BI48+SUM($J$27:$J38))*TrueReplaceFurnace*(FurnaceReplaceRate+('Appliance Stock Profile'!$H$16-FurnaceReplaceRate)*TrueReplaceFurnaceAC)</f>
        <v>237.75967713742665</v>
      </c>
      <c r="F39" s="344">
        <f>('2-energy assessment'!AG48+'2-energy assessment'!AN48+SUM(L$27:L38))*DHWReplaceRate*TrueReplaceDHW</f>
        <v>14405.477450237178</v>
      </c>
      <c r="G39" s="344">
        <f t="shared" si="1"/>
        <v>24306.851011028466</v>
      </c>
      <c r="H39" s="207">
        <f t="shared" si="2"/>
        <v>21876.165909925621</v>
      </c>
      <c r="I39" s="347">
        <f t="shared" si="3"/>
        <v>-8697.2524952884742</v>
      </c>
      <c r="J39" s="347">
        <f t="shared" si="4"/>
        <v>-213.98370942368399</v>
      </c>
      <c r="K39" s="347">
        <f t="shared" si="5"/>
        <v>-8911.2362047121587</v>
      </c>
      <c r="L39" s="347">
        <f t="shared" si="6"/>
        <v>-12964.929705213461</v>
      </c>
      <c r="M39" s="347"/>
      <c r="N39" s="347">
        <f t="shared" si="7"/>
        <v>8697.2524952884742</v>
      </c>
      <c r="O39" s="347">
        <f t="shared" si="8"/>
        <v>8911.2362047121587</v>
      </c>
      <c r="P39" s="347">
        <f t="shared" si="9"/>
        <v>12964.929705213461</v>
      </c>
      <c r="Q39" s="263"/>
      <c r="R39" s="347">
        <f t="shared" si="14"/>
        <v>-5212.6884649518524</v>
      </c>
      <c r="S39" s="347">
        <f>MIN($K39*('2-energy assessment'!$AM48+SUM($S$27:$S38))/('2-energy assessment'!$AM48+'2-energy assessment'!$AF48+SUM($R$27:R38)+SUM(S$27:S38)),0)</f>
        <v>-3698.5477397603067</v>
      </c>
      <c r="T39" s="347">
        <f t="shared" si="15"/>
        <v>-12474.800935686982</v>
      </c>
      <c r="U39" s="347">
        <f>MIN($L39*('2-energy assessment'!$AN48+SUM($U$27:$U38))/('2-energy assessment'!$AN48+'2-energy assessment'!$AG48+SUM($L$27:L38)),0)</f>
        <v>-490.12876952647758</v>
      </c>
      <c r="V39" s="344">
        <f>'2-energy assessment'!AM48+'2-energy assessment'!AF48+SUM(K$27:K39)</f>
        <v>186458.92097251888</v>
      </c>
      <c r="W39" s="344">
        <f>SUM(L$27:L39)+'2-energy assessment'!AG48+'2-energy assessment'!AN48</f>
        <v>145495.32224739552</v>
      </c>
      <c r="X39" s="394">
        <f>MAX('2-energy assessment'!AF48+SUM(R$27:R39),0)</f>
        <v>109070.4189870829</v>
      </c>
      <c r="Y39" s="394">
        <f>MAX('2-energy assessment'!AG48+SUM(T$27:T39),0)</f>
        <v>139994.98827826502</v>
      </c>
      <c r="Z39" s="395">
        <f>'2-energy assessment'!AH48</f>
        <v>0</v>
      </c>
      <c r="AA39" s="395">
        <f>'2-energy assessment'!AI48+SUM(N$27:N39)</f>
        <v>204471.9982557905</v>
      </c>
      <c r="AB39" s="395">
        <f>'2-energy assessment'!$AJ48+SUM($O$27:$O39)</f>
        <v>205285.16693043441</v>
      </c>
      <c r="AC39" s="395">
        <f>'2-energy assessment'!$AK48+SUM($P$27:$P39)</f>
        <v>276745.78482905775</v>
      </c>
      <c r="AD39" s="395">
        <f>'2-energy assessment'!$AL48+SUM($Q$27:$Q39)</f>
        <v>19210.689442919265</v>
      </c>
      <c r="AE39" s="396">
        <f>MAX('2-energy assessment'!AM48+SUM(S$27:S39),0)</f>
        <v>77388.501985435898</v>
      </c>
      <c r="AF39" s="396">
        <f>MAX('2-energy assessment'!AN48+SUM(U$27:U39),0)</f>
        <v>5500.3339691304718</v>
      </c>
      <c r="AG39" s="396">
        <f>'2-energy assessment'!AO48</f>
        <v>412752.62903475179</v>
      </c>
      <c r="AH39" s="396">
        <f>'2-energy assessment'!AP48</f>
        <v>43490.164568655862</v>
      </c>
      <c r="AI39" s="396">
        <f>'2-energy assessment'!AQ48</f>
        <v>40793.100099281844</v>
      </c>
      <c r="AJ39" s="396">
        <f>'2-energy assessment'!AR48</f>
        <v>10296.08092578184</v>
      </c>
      <c r="AK39" s="396">
        <f>'2-energy assessment'!AS48</f>
        <v>413326.49855931586</v>
      </c>
      <c r="AL39" s="349">
        <f>IFERROR(AE39*'2-energy assessment'!AT48/'2-energy assessment'!AM48,0)</f>
        <v>74785.278452310027</v>
      </c>
      <c r="AM39" s="349">
        <f>IFERROR(AF39*'2-energy assessment'!AU48/'2-energy assessment'!AN48,0)</f>
        <v>5257.306389763</v>
      </c>
      <c r="AN39" s="349">
        <f>IFERROR(AG39*'2-energy assessment'!AV48/'2-energy assessment'!AO48,0)</f>
        <v>401849.10806803487</v>
      </c>
      <c r="AO39" s="349">
        <f>IFERROR(AH39*'2-energy assessment'!AW48/'2-energy assessment'!AP48,0)</f>
        <v>41713.391338008863</v>
      </c>
      <c r="AP39" s="349">
        <f>IFERROR(AI39*'2-energy assessment'!AX48/'2-energy assessment'!AQ48,0)</f>
        <v>39126.514355806758</v>
      </c>
      <c r="AQ39" s="349">
        <f>IFERROR(AJ39*'2-energy assessment'!AY48/'2-energy assessment'!AR48,0)</f>
        <v>9767.6647776584796</v>
      </c>
      <c r="AR39" s="349">
        <f>IFERROR(AK39*'2-energy assessment'!AZ48/'2-energy assessment'!AS48,0)</f>
        <v>401849.10806803487</v>
      </c>
      <c r="AS39" s="344">
        <f>R39*'Appliance Stock Profile'!$B$21+S39*'Appliance Stock Profile'!$B$20+T39*'Appliance Stock Profile'!$C$21+U39*'Appliance Stock Profile'!$C$20</f>
        <v>-3973407.4306853381</v>
      </c>
      <c r="AT39" s="344">
        <f t="shared" si="10"/>
        <v>24172686.413272679</v>
      </c>
      <c r="AU39" s="344">
        <f>GasEmissions*AS39+'stock-flow model'!$B14*(AT39)/1000</f>
        <v>-21059.059382632291</v>
      </c>
      <c r="AV39" s="344">
        <f>MAX(GasEmissions*SUM($AS$27:$AS39)+'stock-flow model'!$B14*SUM($AT$27:$AT39)/1000,-'2-energy assessment'!BG48)</f>
        <v>-393590.04115443421</v>
      </c>
      <c r="AW39" s="343">
        <f>'2-energy assessment'!BG48+AV39</f>
        <v>389266.39542997291</v>
      </c>
      <c r="AX39" s="344">
        <f>C39+SUM(M$27:M39)</f>
        <v>412752.62903475179</v>
      </c>
      <c r="AY39" s="344">
        <f>'2-energy assessment'!BK48-SUM(M$27:M39)</f>
        <v>19784.558967483314</v>
      </c>
      <c r="AZ39" s="344">
        <f t="shared" si="11"/>
        <v>184575.02517778869</v>
      </c>
      <c r="BA39" s="344">
        <f t="shared" si="12"/>
        <v>1883.8957947301096</v>
      </c>
      <c r="BB39" s="36">
        <f t="shared" si="13"/>
        <v>-21059.059382632258</v>
      </c>
      <c r="BC39" s="36">
        <f t="shared" si="16"/>
        <v>-393590.04115443421</v>
      </c>
      <c r="BD39" s="36">
        <f t="shared" si="17"/>
        <v>0</v>
      </c>
    </row>
    <row r="40" spans="1:56" hidden="1" x14ac:dyDescent="0.3">
      <c r="A40" s="257">
        <f t="shared" si="0"/>
        <v>1</v>
      </c>
      <c r="B40" s="393">
        <v>2033</v>
      </c>
      <c r="C40" s="344">
        <f>'2-energy assessment'!BJ49</f>
        <v>412713.72272092913</v>
      </c>
      <c r="D40" s="344">
        <f>('2-energy assessment'!BH49+SUM($I$27:$I39))*FurnaceReplaceRate*TrueReplaceFurnace</f>
        <v>9228.1950888436968</v>
      </c>
      <c r="E40" s="344">
        <f>('2-energy assessment'!BI49+SUM($J$27:$J39))*TrueReplaceFurnace*(FurnaceReplaceRate+('Appliance Stock Profile'!$H$16-FurnaceReplaceRate)*TrueReplaceFurnaceAC)</f>
        <v>211.51717012069577</v>
      </c>
      <c r="F40" s="344">
        <f>('2-energy assessment'!AG49+'2-energy assessment'!AN49+SUM(L$27:L39))*DHWReplaceRate*TrueReplaceDHW</f>
        <v>13225.173952382236</v>
      </c>
      <c r="G40" s="344">
        <f t="shared" si="1"/>
        <v>22664.886211346628</v>
      </c>
      <c r="H40" s="207">
        <f t="shared" si="2"/>
        <v>20398.397590211964</v>
      </c>
      <c r="I40" s="347">
        <f t="shared" si="3"/>
        <v>-8305.3755799593273</v>
      </c>
      <c r="J40" s="347">
        <f t="shared" si="4"/>
        <v>-190.36545310862618</v>
      </c>
      <c r="K40" s="347">
        <f t="shared" si="5"/>
        <v>-8495.741033067954</v>
      </c>
      <c r="L40" s="347">
        <f t="shared" si="6"/>
        <v>-11902.656557144013</v>
      </c>
      <c r="M40" s="347"/>
      <c r="N40" s="347">
        <f t="shared" si="7"/>
        <v>8305.3755799593273</v>
      </c>
      <c r="O40" s="347">
        <f t="shared" si="8"/>
        <v>8495.741033067954</v>
      </c>
      <c r="P40" s="347">
        <f t="shared" si="9"/>
        <v>11902.656557144013</v>
      </c>
      <c r="Q40" s="263"/>
      <c r="R40" s="347">
        <f t="shared" si="14"/>
        <v>-5336.8645883696881</v>
      </c>
      <c r="S40" s="347">
        <f>MIN($K40*('2-energy assessment'!$AM49+SUM($S$27:$S39))/('2-energy assessment'!$AM49+'2-energy assessment'!$AF49+SUM($R$27:R39)+SUM(S$27:S39)),0)</f>
        <v>-3158.8764446982655</v>
      </c>
      <c r="T40" s="347">
        <f t="shared" si="15"/>
        <v>-11902.656557144013</v>
      </c>
      <c r="U40" s="347">
        <f>MIN($L40*('2-energy assessment'!$AN49+SUM($U$27:$U39))/('2-energy assessment'!$AN49+'2-energy assessment'!$AG49+SUM($L$27:L39)),0)</f>
        <v>0</v>
      </c>
      <c r="V40" s="344">
        <f>'2-energy assessment'!AM49+'2-energy assessment'!AF49+SUM(K$27:K40)</f>
        <v>177934.48871545913</v>
      </c>
      <c r="W40" s="344">
        <f>SUM(L$27:L40)+'2-energy assessment'!AG49+'2-energy assessment'!AN49</f>
        <v>133574.2569190606</v>
      </c>
      <c r="X40" s="394">
        <f>MAX('2-energy assessment'!AF49+SUM(R$27:R40),0)</f>
        <v>111775.09627224108</v>
      </c>
      <c r="Y40" s="394">
        <f>MAX('2-energy assessment'!AG49+SUM(T$27:T40),0)</f>
        <v>137909.86075550257</v>
      </c>
      <c r="Z40" s="395">
        <f>'2-energy assessment'!AH49</f>
        <v>0</v>
      </c>
      <c r="AA40" s="395">
        <f>'2-energy assessment'!AI49+SUM(N$27:N40)</f>
        <v>217288.73232815173</v>
      </c>
      <c r="AB40" s="395">
        <f>'2-energy assessment'!$AJ49+SUM($O$27:$O40)</f>
        <v>218130.02998102288</v>
      </c>
      <c r="AC40" s="395">
        <f>'2-energy assessment'!$AK49+SUM($P$27:$P40)</f>
        <v>291297.34903688083</v>
      </c>
      <c r="AD40" s="395">
        <f>'2-energy assessment'!$AL49+SUM($Q$27:$Q40)</f>
        <v>20811.580229829204</v>
      </c>
      <c r="AE40" s="396">
        <f>MAX('2-energy assessment'!AM49+SUM(S$27:S40),0)</f>
        <v>66159.392443217992</v>
      </c>
      <c r="AF40" s="396">
        <f>MAX('2-energy assessment'!AN49+SUM(U$27:U40),0)</f>
        <v>0</v>
      </c>
      <c r="AG40" s="396">
        <f>'2-energy assessment'!AO49</f>
        <v>412713.72272092913</v>
      </c>
      <c r="AH40" s="396">
        <f>'2-energy assessment'!AP49</f>
        <v>40590.820264078808</v>
      </c>
      <c r="AI40" s="396">
        <f>'2-energy assessment'!AQ49</f>
        <v>38073.560092663058</v>
      </c>
      <c r="AJ40" s="396">
        <f>'2-energy assessment'!AR49</f>
        <v>9266.4728332036575</v>
      </c>
      <c r="AK40" s="396">
        <f>'2-energy assessment'!AS49</f>
        <v>413326.49855931586</v>
      </c>
      <c r="AL40" s="349">
        <f>IFERROR(AE40*'2-energy assessment'!AT49/'2-energy assessment'!AM49,0)</f>
        <v>63703.274548439083</v>
      </c>
      <c r="AM40" s="349">
        <f>IFERROR(AF40*'2-energy assessment'!AU49/'2-energy assessment'!AN49,0)</f>
        <v>0</v>
      </c>
      <c r="AN40" s="349">
        <f>IFERROR(AG40*'2-energy assessment'!AV49/'2-energy assessment'!AO49,0)</f>
        <v>401070.98179158109</v>
      </c>
      <c r="AO40" s="349">
        <f>IFERROR(AH40*'2-energy assessment'!AW49/'2-energy assessment'!AP49,0)</f>
        <v>38740.975914116942</v>
      </c>
      <c r="AP40" s="349">
        <f>IFERROR(AI40*'2-energy assessment'!AX49/'2-energy assessment'!AQ49,0)</f>
        <v>36338.434772156186</v>
      </c>
      <c r="AQ40" s="349">
        <f>IFERROR(AJ40*'2-energy assessment'!AY49/'2-energy assessment'!AR49,0)</f>
        <v>8721.6064658577143</v>
      </c>
      <c r="AR40" s="349">
        <f>IFERROR(AK40*'2-energy assessment'!AZ49/'2-energy assessment'!AS49,0)</f>
        <v>401070.98179158109</v>
      </c>
      <c r="AS40" s="344">
        <f>R40*'Appliance Stock Profile'!$B$21+S40*'Appliance Stock Profile'!$B$20+T40*'Appliance Stock Profile'!$C$21+U40*'Appliance Stock Profile'!$C$20</f>
        <v>-3651761.9120842237</v>
      </c>
      <c r="AT40" s="344">
        <f t="shared" si="10"/>
        <v>22724097.865105748</v>
      </c>
      <c r="AU40" s="344">
        <f>GasEmissions*AS40+'stock-flow model'!$B15*(AT40)/1000</f>
        <v>-19354.338134046386</v>
      </c>
      <c r="AV40" s="344">
        <f>MAX(GasEmissions*SUM($AS$27:$AS40)+'stock-flow model'!$B15*SUM($AT$27:$AT40)/1000,-'2-energy assessment'!BG49)</f>
        <v>-412944.37928848062</v>
      </c>
      <c r="AW40" s="343">
        <f>'2-energy assessment'!BG49+AV40</f>
        <v>362418.96241200122</v>
      </c>
      <c r="AX40" s="344">
        <f>C40+SUM(M$27:M40)</f>
        <v>412713.72272092913</v>
      </c>
      <c r="AY40" s="344">
        <f>'2-energy assessment'!BK49-SUM(M$27:M40)</f>
        <v>21424.356068215944</v>
      </c>
      <c r="AZ40" s="344">
        <f t="shared" si="11"/>
        <v>176258.52619691449</v>
      </c>
      <c r="BA40" s="344">
        <f t="shared" si="12"/>
        <v>1675.9625185446057</v>
      </c>
      <c r="BB40" s="36">
        <f t="shared" si="13"/>
        <v>-19354.338134046411</v>
      </c>
      <c r="BC40" s="36">
        <f t="shared" si="16"/>
        <v>-412944.37928848062</v>
      </c>
      <c r="BD40" s="36">
        <f t="shared" si="17"/>
        <v>0</v>
      </c>
    </row>
    <row r="41" spans="1:56" hidden="1" x14ac:dyDescent="0.3">
      <c r="A41" s="257">
        <f t="shared" si="0"/>
        <v>1</v>
      </c>
      <c r="B41" s="393">
        <v>2034</v>
      </c>
      <c r="C41" s="344">
        <f>'2-energy assessment'!BJ50</f>
        <v>412676.60459067882</v>
      </c>
      <c r="D41" s="344">
        <f>('2-energy assessment'!BH50+SUM($I$27:$I40))*FurnaceReplaceRate*TrueReplaceFurnace</f>
        <v>8812.446700872466</v>
      </c>
      <c r="E41" s="344">
        <f>('2-energy assessment'!BI50+SUM($J$27:$J40))*TrueReplaceFurnace*(FurnaceReplaceRate+('Appliance Stock Profile'!$H$16-FurnaceReplaceRate)*TrueReplaceFurnaceAC)</f>
        <v>188.08333936315415</v>
      </c>
      <c r="F41" s="344">
        <f>('2-energy assessment'!AG50+'2-energy assessment'!AN50+SUM(L$27:L40))*DHWReplaceRate*TrueReplaceDHW</f>
        <v>12141.663751790409</v>
      </c>
      <c r="G41" s="344">
        <f t="shared" si="1"/>
        <v>21142.193792026032</v>
      </c>
      <c r="H41" s="207">
        <f t="shared" si="2"/>
        <v>19027.974412823431</v>
      </c>
      <c r="I41" s="347">
        <f t="shared" si="3"/>
        <v>-7931.2020307852199</v>
      </c>
      <c r="J41" s="347">
        <f t="shared" si="4"/>
        <v>-169.27500542683873</v>
      </c>
      <c r="K41" s="347">
        <f t="shared" si="5"/>
        <v>-8100.4770362120589</v>
      </c>
      <c r="L41" s="347">
        <f t="shared" si="6"/>
        <v>-10927.497376611369</v>
      </c>
      <c r="M41" s="347"/>
      <c r="N41" s="347">
        <f t="shared" si="7"/>
        <v>7931.2020307852199</v>
      </c>
      <c r="O41" s="347">
        <f t="shared" si="8"/>
        <v>8100.4770362120589</v>
      </c>
      <c r="P41" s="347">
        <f t="shared" si="9"/>
        <v>10927.497376611369</v>
      </c>
      <c r="Q41" s="263"/>
      <c r="R41" s="347">
        <f t="shared" si="14"/>
        <v>-5437.1485804624372</v>
      </c>
      <c r="S41" s="347">
        <f>MIN($K41*('2-energy assessment'!$AM50+SUM($S$27:$S40))/('2-energy assessment'!$AM50+'2-energy assessment'!$AF50+SUM($R$27:R40)+SUM(S$27:S40)),0)</f>
        <v>-2663.3284557496218</v>
      </c>
      <c r="T41" s="347">
        <f t="shared" si="15"/>
        <v>-10927.497376611369</v>
      </c>
      <c r="U41" s="347">
        <f>MIN($L41*('2-energy assessment'!$AN50+SUM($U$27:$U40))/('2-energy assessment'!$AN50+'2-energy assessment'!$AG50+SUM($L$27:L40)),0)</f>
        <v>0</v>
      </c>
      <c r="V41" s="344">
        <f>'2-energy assessment'!AM50+'2-energy assessment'!AF50+SUM(K$27:K41)</f>
        <v>169808.01585797098</v>
      </c>
      <c r="W41" s="344">
        <f>SUM(L$27:L41)+'2-energy assessment'!AG50+'2-energy assessment'!AN50</f>
        <v>122630.80389308311</v>
      </c>
      <c r="X41" s="394">
        <f>MAX('2-energy assessment'!AF50+SUM(R$27:R41),0)</f>
        <v>113977.4124716301</v>
      </c>
      <c r="Y41" s="394">
        <f>MAX('2-energy assessment'!AG50+SUM(T$27:T41),0)</f>
        <v>135907.38977378351</v>
      </c>
      <c r="Z41" s="395">
        <f>'2-energy assessment'!AH50</f>
        <v>0</v>
      </c>
      <c r="AA41" s="395">
        <f>'2-energy assessment'!AI50+SUM(N$27:N41)</f>
        <v>229536.47200958402</v>
      </c>
      <c r="AB41" s="395">
        <f>'2-energy assessment'!$AJ50+SUM($O$27:$O41)</f>
        <v>230395.6309649318</v>
      </c>
      <c r="AC41" s="395">
        <f>'2-energy assessment'!$AK50+SUM($P$27:$P41)</f>
        <v>304768.34013308864</v>
      </c>
      <c r="AD41" s="395">
        <f>'2-energy assessment'!$AL50+SUM($Q$27:$Q41)</f>
        <v>22412.471016739142</v>
      </c>
      <c r="AE41" s="396">
        <f>MAX('2-energy assessment'!AM50+SUM(S$27:S41),0)</f>
        <v>55830.603386340808</v>
      </c>
      <c r="AF41" s="396">
        <f>MAX('2-energy assessment'!AN50+SUM(U$27:U41),0)</f>
        <v>0</v>
      </c>
      <c r="AG41" s="396">
        <f>'2-energy assessment'!AO50</f>
        <v>412676.60459067882</v>
      </c>
      <c r="AH41" s="396">
        <f>'2-energy assessment'!AP50</f>
        <v>37884.765579806888</v>
      </c>
      <c r="AI41" s="396">
        <f>'2-energy assessment'!AQ50</f>
        <v>35535.322753152184</v>
      </c>
      <c r="AJ41" s="396">
        <f>'2-energy assessment'!AR50</f>
        <v>8339.8255498832914</v>
      </c>
      <c r="AK41" s="396">
        <f>'2-energy assessment'!AS50</f>
        <v>413326.49855931586</v>
      </c>
      <c r="AL41" s="349">
        <f>IFERROR(AE41*'2-energy assessment'!AT50/'2-energy assessment'!AM50,0)</f>
        <v>53557.295801839486</v>
      </c>
      <c r="AM41" s="349">
        <f>IFERROR(AF41*'2-energy assessment'!AU50/'2-energy assessment'!AN50,0)</f>
        <v>0</v>
      </c>
      <c r="AN41" s="349">
        <f>IFERROR(AG41*'2-energy assessment'!AV50/'2-energy assessment'!AO50,0)</f>
        <v>400328.61918657506</v>
      </c>
      <c r="AO41" s="349">
        <f>IFERROR(AH41*'2-energy assessment'!AW50/'2-energy assessment'!AP50,0)</f>
        <v>35970.20005157889</v>
      </c>
      <c r="AP41" s="349">
        <f>IFERROR(AI41*'2-energy assessment'!AX50/'2-energy assessment'!AQ50,0)</f>
        <v>33739.489970860806</v>
      </c>
      <c r="AQ41" s="349">
        <f>IFERROR(AJ41*'2-energy assessment'!AY50/'2-energy assessment'!AR50,0)</f>
        <v>7780.9589037629803</v>
      </c>
      <c r="AR41" s="349">
        <f>IFERROR(AK41*'2-energy assessment'!AZ50/'2-energy assessment'!AS50,0)</f>
        <v>400328.61918657512</v>
      </c>
      <c r="AS41" s="344">
        <f>R41*'Appliance Stock Profile'!$B$21+S41*'Appliance Stock Profile'!$B$20+T41*'Appliance Stock Profile'!$C$21+U41*'Appliance Stock Profile'!$C$20</f>
        <v>-3400632.4324731352</v>
      </c>
      <c r="AT41" s="344">
        <f t="shared" si="10"/>
        <v>21370771.633042671</v>
      </c>
      <c r="AU41" s="344">
        <f>GasEmissions*AS41+'stock-flow model'!$B16*(AT41)/1000</f>
        <v>-18023.351892107617</v>
      </c>
      <c r="AV41" s="344">
        <f>MAX(GasEmissions*SUM($AS$27:$AS41)+'stock-flow model'!$B16*SUM($AT$27:$AT41)/1000,-'2-energy assessment'!BG50)</f>
        <v>-430967.73118058825</v>
      </c>
      <c r="AW41" s="343">
        <f>'2-energy assessment'!BG50+AV41</f>
        <v>337507.01434126485</v>
      </c>
      <c r="AX41" s="344">
        <f>C41+SUM(M$27:M41)</f>
        <v>412676.60459067882</v>
      </c>
      <c r="AY41" s="344">
        <f>'2-energy assessment'!BK50-SUM(M$27:M41)</f>
        <v>23062.364985376182</v>
      </c>
      <c r="AZ41" s="344">
        <f t="shared" si="11"/>
        <v>168317.73198666397</v>
      </c>
      <c r="BA41" s="344">
        <f t="shared" si="12"/>
        <v>1490.2838713069214</v>
      </c>
      <c r="BB41" s="36">
        <f t="shared" si="13"/>
        <v>-18023.351892107632</v>
      </c>
      <c r="BC41" s="36">
        <f t="shared" si="16"/>
        <v>-430967.73118058825</v>
      </c>
      <c r="BD41" s="36">
        <f t="shared" si="17"/>
        <v>0</v>
      </c>
    </row>
    <row r="42" spans="1:56" hidden="1" x14ac:dyDescent="0.3">
      <c r="A42" s="257">
        <f t="shared" si="0"/>
        <v>1</v>
      </c>
      <c r="B42" s="393">
        <v>2035</v>
      </c>
      <c r="C42" s="344">
        <f>'2-energy assessment'!BJ51</f>
        <v>412641.19245681394</v>
      </c>
      <c r="D42" s="344">
        <f>('2-energy assessment'!BH51+SUM($I$27:$I41))*FurnaceReplaceRate*TrueReplaceFurnace</f>
        <v>8415.4729758112826</v>
      </c>
      <c r="E42" s="344">
        <f>('2-energy assessment'!BI51+SUM($J$27:$J41))*TrueReplaceFurnace*(FurnaceReplaceRate+('Appliance Stock Profile'!$H$16-FurnaceReplaceRate)*TrueReplaceFurnaceAC)</f>
        <v>167.16701746770343</v>
      </c>
      <c r="F42" s="344">
        <f>('2-energy assessment'!AG51+'2-energy assessment'!AN51+SUM(L$27:L41))*DHWReplaceRate*TrueReplaceDHW</f>
        <v>11146.997766828372</v>
      </c>
      <c r="G42" s="344">
        <f t="shared" si="1"/>
        <v>19729.637760107358</v>
      </c>
      <c r="H42" s="207">
        <f t="shared" si="2"/>
        <v>17756.673984096622</v>
      </c>
      <c r="I42" s="347">
        <f t="shared" si="3"/>
        <v>-7573.9256782301545</v>
      </c>
      <c r="J42" s="347">
        <f t="shared" si="4"/>
        <v>-150.45031572093311</v>
      </c>
      <c r="K42" s="347">
        <f t="shared" si="5"/>
        <v>-7724.3759939510874</v>
      </c>
      <c r="L42" s="347">
        <f t="shared" si="6"/>
        <v>-10032.297990145535</v>
      </c>
      <c r="M42" s="347"/>
      <c r="N42" s="347">
        <f t="shared" si="7"/>
        <v>7573.9256782301545</v>
      </c>
      <c r="O42" s="347">
        <f t="shared" si="8"/>
        <v>7724.3759939510874</v>
      </c>
      <c r="P42" s="347">
        <f t="shared" si="9"/>
        <v>10032.297990145535</v>
      </c>
      <c r="Q42" s="263"/>
      <c r="R42" s="347">
        <f t="shared" si="14"/>
        <v>-5515.6047130513216</v>
      </c>
      <c r="S42" s="347">
        <f>MIN($K42*('2-energy assessment'!$AM51+SUM($S$27:$S41))/('2-energy assessment'!$AM51+'2-energy assessment'!$AF51+SUM($R$27:R41)+SUM(S$27:S41)),0)</f>
        <v>-2208.7712808997658</v>
      </c>
      <c r="T42" s="347">
        <f t="shared" si="15"/>
        <v>-10032.297990145535</v>
      </c>
      <c r="U42" s="347">
        <f>MIN($L42*('2-energy assessment'!$AN51+SUM($U$27:$U41))/('2-energy assessment'!$AN51+'2-energy assessment'!$AG51+SUM($L$27:L41)),0)</f>
        <v>0</v>
      </c>
      <c r="V42" s="344">
        <f>'2-energy assessment'!AM51+'2-energy assessment'!AF51+SUM(K$27:K42)</f>
        <v>162060.08661757779</v>
      </c>
      <c r="W42" s="344">
        <f>SUM(L$27:L42)+'2-energy assessment'!AG51+'2-energy assessment'!AN51</f>
        <v>112584.67744496654</v>
      </c>
      <c r="X42" s="394">
        <f>MAX('2-energy assessment'!AF51+SUM(R$27:R42),0)</f>
        <v>115719.29929943768</v>
      </c>
      <c r="Y42" s="394">
        <f>MAX('2-energy assessment'!AG51+SUM(T$27:T42),0)</f>
        <v>133988.75214263095</v>
      </c>
      <c r="Z42" s="395">
        <f>'2-energy assessment'!AH51</f>
        <v>0</v>
      </c>
      <c r="AA42" s="395">
        <f>'2-energy assessment'!AI51+SUM(N$27:N42)</f>
        <v>241245.21198381635</v>
      </c>
      <c r="AB42" s="395">
        <f>'2-energy assessment'!$AJ51+SUM($O$27:$O42)</f>
        <v>242113.47250911174</v>
      </c>
      <c r="AC42" s="395">
        <f>'2-energy assessment'!$AK51+SUM($P$27:$P42)</f>
        <v>317249.33992310346</v>
      </c>
      <c r="AD42" s="395">
        <f>'2-energy assessment'!$AL51+SUM($Q$27:$Q42)</f>
        <v>24013.361803649081</v>
      </c>
      <c r="AE42" s="396">
        <f>MAX('2-energy assessment'!AM51+SUM(S$27:S42),0)</f>
        <v>46340.787318140065</v>
      </c>
      <c r="AF42" s="396">
        <f>MAX('2-energy assessment'!AN51+SUM(U$27:U42),0)</f>
        <v>0</v>
      </c>
      <c r="AG42" s="396">
        <f>'2-energy assessment'!AO51</f>
        <v>412641.19245681394</v>
      </c>
      <c r="AH42" s="396">
        <f>'2-energy assessment'!AP51</f>
        <v>35359.114541153089</v>
      </c>
      <c r="AI42" s="396">
        <f>'2-energy assessment'!AQ51</f>
        <v>33166.301236275365</v>
      </c>
      <c r="AJ42" s="396">
        <f>'2-energy assessment'!AR51</f>
        <v>7505.8429948949633</v>
      </c>
      <c r="AK42" s="396">
        <f>'2-energy assessment'!AS51</f>
        <v>413326.49855931586</v>
      </c>
      <c r="AL42" s="349">
        <f>IFERROR(AE42*'2-energy assessment'!AT51/'2-energy assessment'!AM51,0)</f>
        <v>44281.918494485122</v>
      </c>
      <c r="AM42" s="349">
        <f>IFERROR(AF42*'2-energy assessment'!AU51/'2-energy assessment'!AN51,0)</f>
        <v>0</v>
      </c>
      <c r="AN42" s="349">
        <f>IFERROR(AG42*'2-energy assessment'!AV51/'2-energy assessment'!AO51,0)</f>
        <v>399620.37650927744</v>
      </c>
      <c r="AO42" s="349">
        <f>IFERROR(AH42*'2-energy assessment'!AW51/'2-energy assessment'!AP51,0)</f>
        <v>33387.241153360097</v>
      </c>
      <c r="AP42" s="349">
        <f>IFERROR(AI42*'2-energy assessment'!AX51/'2-energy assessment'!AQ51,0)</f>
        <v>31316.714570205975</v>
      </c>
      <c r="AQ42" s="349">
        <f>IFERROR(AJ42*'2-energy assessment'!AY51/'2-energy assessment'!AR51,0)</f>
        <v>6935.0725750134015</v>
      </c>
      <c r="AR42" s="349">
        <f>IFERROR(AK42*'2-energy assessment'!AZ51/'2-energy assessment'!AS51,0)</f>
        <v>399620.37650927744</v>
      </c>
      <c r="AS42" s="344">
        <f>R42*'Appliance Stock Profile'!$B$21+S42*'Appliance Stock Profile'!$B$20+T42*'Appliance Stock Profile'!$C$21+U42*'Appliance Stock Profile'!$C$20</f>
        <v>-3167524.6775842672</v>
      </c>
      <c r="AT42" s="344">
        <f t="shared" si="10"/>
        <v>20105904.438811887</v>
      </c>
      <c r="AU42" s="344">
        <f>GasEmissions*AS42+'stock-flow model'!$B17*(AT42)/1000</f>
        <v>-16787.880791196618</v>
      </c>
      <c r="AV42" s="344">
        <f>MAX(GasEmissions*SUM($AS$27:$AS42)+'stock-flow model'!$B17*SUM($AT$27:$AT42)/1000,-'2-energy assessment'!BG51)</f>
        <v>-447755.61197178479</v>
      </c>
      <c r="AW42" s="343">
        <f>'2-energy assessment'!BG51+AV42</f>
        <v>314383.66484067211</v>
      </c>
      <c r="AX42" s="344">
        <f>C42+SUM(M$27:M42)</f>
        <v>412641.19245681394</v>
      </c>
      <c r="AY42" s="344">
        <f>'2-energy assessment'!BK51-SUM(M$27:M42)</f>
        <v>24698.667906151</v>
      </c>
      <c r="AZ42" s="344">
        <f t="shared" si="11"/>
        <v>160735.5338379954</v>
      </c>
      <c r="BA42" s="344">
        <f t="shared" si="12"/>
        <v>1324.5527795823291</v>
      </c>
      <c r="BB42" s="36">
        <f t="shared" si="13"/>
        <v>-16787.880791196541</v>
      </c>
      <c r="BC42" s="36">
        <f t="shared" si="16"/>
        <v>-447755.61197178479</v>
      </c>
      <c r="BD42" s="36">
        <f t="shared" si="17"/>
        <v>0</v>
      </c>
    </row>
    <row r="43" spans="1:56" hidden="1" x14ac:dyDescent="0.3">
      <c r="A43" s="257">
        <f t="shared" si="0"/>
        <v>1</v>
      </c>
      <c r="B43" s="393">
        <v>2036</v>
      </c>
      <c r="C43" s="344">
        <f>'2-energy assessment'!BJ52</f>
        <v>412607.40790957498</v>
      </c>
      <c r="D43" s="344">
        <f>('2-energy assessment'!BH52+SUM($I$27:$I42))*FurnaceReplaceRate*TrueReplaceFurnace</f>
        <v>8036.4199478764731</v>
      </c>
      <c r="E43" s="344">
        <f>('2-energy assessment'!BI52+SUM($J$27:$J42))*TrueReplaceFurnace*(FurnaceReplaceRate+('Appliance Stock Profile'!$H$16-FurnaceReplaceRate)*TrueReplaceFurnaceAC)</f>
        <v>148.5060905263534</v>
      </c>
      <c r="F43" s="344">
        <f>('2-energy assessment'!AG52+'2-energy assessment'!AN52+SUM(L$27:L42))*DHWReplaceRate*TrueReplaceDHW</f>
        <v>10233.881227777416</v>
      </c>
      <c r="G43" s="344">
        <f t="shared" si="1"/>
        <v>18418.807266180243</v>
      </c>
      <c r="H43" s="207">
        <f t="shared" si="2"/>
        <v>16576.926539562221</v>
      </c>
      <c r="I43" s="347">
        <f t="shared" si="3"/>
        <v>-7232.7779530888256</v>
      </c>
      <c r="J43" s="347">
        <f t="shared" si="4"/>
        <v>-133.65548147371805</v>
      </c>
      <c r="K43" s="347">
        <f t="shared" si="5"/>
        <v>-7366.4334345625439</v>
      </c>
      <c r="L43" s="347">
        <f t="shared" si="6"/>
        <v>-9210.493104999674</v>
      </c>
      <c r="M43" s="347"/>
      <c r="N43" s="347">
        <f t="shared" si="7"/>
        <v>7232.7779530888256</v>
      </c>
      <c r="O43" s="347">
        <f t="shared" si="8"/>
        <v>7366.4334345625439</v>
      </c>
      <c r="P43" s="347">
        <f t="shared" si="9"/>
        <v>9210.493104999674</v>
      </c>
      <c r="Q43" s="263"/>
      <c r="R43" s="347">
        <f t="shared" si="14"/>
        <v>-5574.1436542635074</v>
      </c>
      <c r="S43" s="347">
        <f>MIN($K43*('2-energy assessment'!$AM52+SUM($S$27:$S42))/('2-energy assessment'!$AM52+'2-energy assessment'!$AF52+SUM($R$27:R42)+SUM(S$27:S42)),0)</f>
        <v>-1792.2897802990362</v>
      </c>
      <c r="T43" s="347">
        <f t="shared" si="15"/>
        <v>-9210.493104999674</v>
      </c>
      <c r="U43" s="347">
        <f>MIN($L43*('2-energy assessment'!$AN52+SUM($U$27:$U42))/('2-energy assessment'!$AN52+'2-energy assessment'!$AG52+SUM($L$27:L42)),0)</f>
        <v>0</v>
      </c>
      <c r="V43" s="344">
        <f>'2-energy assessment'!AM52+'2-energy assessment'!AF52+SUM(K$27:K43)</f>
        <v>154672.3133805524</v>
      </c>
      <c r="W43" s="344">
        <f>SUM(L$27:L43)+'2-energy assessment'!AG52+'2-energy assessment'!AN52</f>
        <v>103362.20040055191</v>
      </c>
      <c r="X43" s="394">
        <f>MAX('2-energy assessment'!AF52+SUM(R$27:R43),0)</f>
        <v>117039.77260899014</v>
      </c>
      <c r="Y43" s="394">
        <f>MAX('2-energy assessment'!AG52+SUM(T$27:T43),0)</f>
        <v>132154.3139094431</v>
      </c>
      <c r="Z43" s="395">
        <f>'2-energy assessment'!AH52</f>
        <v>0</v>
      </c>
      <c r="AA43" s="395">
        <f>'2-energy assessment'!AI52+SUM(N$27:N43)</f>
        <v>252443.28990702471</v>
      </c>
      <c r="AB43" s="395">
        <f>'2-energy assessment'!$AJ52+SUM($O$27:$O43)</f>
        <v>253313.22328213212</v>
      </c>
      <c r="AC43" s="395">
        <f>'2-energy assessment'!$AK52+SUM($P$27:$P43)</f>
        <v>328823.29205391754</v>
      </c>
      <c r="AD43" s="395">
        <f>'2-energy assessment'!$AL52+SUM($Q$27:$Q43)</f>
        <v>25614.252590559019</v>
      </c>
      <c r="AE43" s="396">
        <f>MAX('2-energy assessment'!AM52+SUM(S$27:S43),0)</f>
        <v>37632.540771562199</v>
      </c>
      <c r="AF43" s="396">
        <f>MAX('2-energy assessment'!AN52+SUM(U$27:U43),0)</f>
        <v>0</v>
      </c>
      <c r="AG43" s="396">
        <f>'2-energy assessment'!AO52</f>
        <v>412607.40790957498</v>
      </c>
      <c r="AH43" s="396">
        <f>'2-energy assessment'!AP52</f>
        <v>33001.840238409553</v>
      </c>
      <c r="AI43" s="396">
        <f>'2-energy assessment'!AQ52</f>
        <v>30955.214487190344</v>
      </c>
      <c r="AJ43" s="396">
        <f>'2-energy assessment'!AR52</f>
        <v>6755.2586954054641</v>
      </c>
      <c r="AK43" s="396">
        <f>'2-energy assessment'!AS52</f>
        <v>413326.49855931586</v>
      </c>
      <c r="AL43" s="349">
        <f>IFERROR(AE43*'2-energy assessment'!AT52/'2-energy assessment'!AM52,0)</f>
        <v>35816.139289775681</v>
      </c>
      <c r="AM43" s="349">
        <f>IFERROR(AF43*'2-energy assessment'!AU52/'2-energy assessment'!AN52,0)</f>
        <v>0</v>
      </c>
      <c r="AN43" s="349">
        <f>IFERROR(AG43*'2-energy assessment'!AV52/'2-energy assessment'!AO52,0)</f>
        <v>398944.68556449766</v>
      </c>
      <c r="AO43" s="349">
        <f>IFERROR(AH43*'2-energy assessment'!AW52/'2-energy assessment'!AP52,0)</f>
        <v>30979.240203061036</v>
      </c>
      <c r="AP43" s="349">
        <f>IFERROR(AI43*'2-energy assessment'!AX52/'2-energy assessment'!AQ52,0)</f>
        <v>29058.047012173516</v>
      </c>
      <c r="AQ43" s="349">
        <f>IFERROR(AJ43*'2-energy assessment'!AY52/'2-energy assessment'!AR52,0)</f>
        <v>6174.3781017498195</v>
      </c>
      <c r="AR43" s="349">
        <f>IFERROR(AK43*'2-energy assessment'!AZ52/'2-energy assessment'!AS52,0)</f>
        <v>398944.68556449766</v>
      </c>
      <c r="AS43" s="344">
        <f>R43*'Appliance Stock Profile'!$B$21+S43*'Appliance Stock Profile'!$B$20+T43*'Appliance Stock Profile'!$C$21+U43*'Appliance Stock Profile'!$C$20</f>
        <v>-2951090.2965415306</v>
      </c>
      <c r="AT43" s="344">
        <f t="shared" si="10"/>
        <v>18923210.491247579</v>
      </c>
      <c r="AU43" s="344">
        <f>GasEmissions*AS43+'stock-flow model'!$B18*(AT43)/1000</f>
        <v>-15640.778571670113</v>
      </c>
      <c r="AV43" s="344">
        <f>MAX(GasEmissions*SUM($AS$27:$AS43)+'stock-flow model'!$B18*SUM($AT$27:$AT43)/1000,-'2-energy assessment'!BG52)</f>
        <v>-463396.39054345491</v>
      </c>
      <c r="AW43" s="343">
        <f>'2-energy assessment'!BG52+AV43</f>
        <v>292913.70163319469</v>
      </c>
      <c r="AX43" s="344">
        <f>C43+SUM(M$27:M43)</f>
        <v>412607.40790957498</v>
      </c>
      <c r="AY43" s="344">
        <f>'2-energy assessment'!BK52-SUM(M$27:M43)</f>
        <v>26333.343240299931</v>
      </c>
      <c r="AZ43" s="344">
        <f t="shared" si="11"/>
        <v>153495.62100444053</v>
      </c>
      <c r="BA43" s="344">
        <f t="shared" si="12"/>
        <v>1176.6923761117941</v>
      </c>
      <c r="BB43" s="36">
        <f t="shared" si="13"/>
        <v>-15640.778571670118</v>
      </c>
      <c r="BC43" s="36">
        <f t="shared" si="16"/>
        <v>-463396.39054345491</v>
      </c>
      <c r="BD43" s="36">
        <f t="shared" si="17"/>
        <v>0</v>
      </c>
    </row>
    <row r="44" spans="1:56" hidden="1" x14ac:dyDescent="0.3">
      <c r="A44" s="257">
        <f t="shared" si="0"/>
        <v>1</v>
      </c>
      <c r="B44" s="393">
        <v>2037</v>
      </c>
      <c r="C44" s="344">
        <f>'2-energy assessment'!BJ53</f>
        <v>412575.1761430144</v>
      </c>
      <c r="D44" s="344">
        <f>('2-energy assessment'!BH53+SUM($I$27:$I43))*FurnaceReplaceRate*TrueReplaceFurnace</f>
        <v>7674.4733432770608</v>
      </c>
      <c r="E44" s="344">
        <f>('2-energy assessment'!BI53+SUM($J$27:$J43))*TrueReplaceFurnace*(FurnaceReplaceRate+('Appliance Stock Profile'!$H$16-FurnaceReplaceRate)*TrueReplaceFurnaceAC)</f>
        <v>131.86475028137451</v>
      </c>
      <c r="F44" s="344">
        <f>('2-energy assessment'!AG53+'2-energy assessment'!AN53+SUM(L$27:L43))*DHWReplaceRate*TrueReplaceDHW</f>
        <v>9395.6196205301676</v>
      </c>
      <c r="G44" s="344">
        <f t="shared" si="1"/>
        <v>17201.957714088599</v>
      </c>
      <c r="H44" s="207">
        <f t="shared" si="2"/>
        <v>15481.761942679739</v>
      </c>
      <c r="I44" s="347">
        <f t="shared" si="3"/>
        <v>-6907.0260089493549</v>
      </c>
      <c r="J44" s="347">
        <f t="shared" si="4"/>
        <v>-118.67827525323706</v>
      </c>
      <c r="K44" s="347">
        <f t="shared" si="5"/>
        <v>-7025.7042842025921</v>
      </c>
      <c r="L44" s="347">
        <f t="shared" si="6"/>
        <v>-8456.0576584771516</v>
      </c>
      <c r="M44" s="347"/>
      <c r="N44" s="347">
        <f t="shared" si="7"/>
        <v>6907.0260089493549</v>
      </c>
      <c r="O44" s="347">
        <f t="shared" si="8"/>
        <v>7025.7042842025921</v>
      </c>
      <c r="P44" s="347">
        <f t="shared" si="9"/>
        <v>8456.0576584771516</v>
      </c>
      <c r="Q44" s="263"/>
      <c r="R44" s="347">
        <f t="shared" si="14"/>
        <v>-5614.5338960356094</v>
      </c>
      <c r="S44" s="347">
        <f>MIN($K44*('2-energy assessment'!$AM53+SUM($S$27:$S43))/('2-energy assessment'!$AM53+'2-energy assessment'!$AF53+SUM($R$27:R43)+SUM(S$27:S43)),0)</f>
        <v>-1411.1703881669823</v>
      </c>
      <c r="T44" s="347">
        <f t="shared" si="15"/>
        <v>-8456.0576584771516</v>
      </c>
      <c r="U44" s="347">
        <f>MIN($L44*('2-energy assessment'!$AN53+SUM($U$27:$U43))/('2-energy assessment'!$AN53+'2-energy assessment'!$AG53+SUM($L$27:L43)),0)</f>
        <v>0</v>
      </c>
      <c r="V44" s="344">
        <f>'2-energy assessment'!AM53+'2-energy assessment'!AF53+SUM(K$27:K44)</f>
        <v>147627.27508382138</v>
      </c>
      <c r="W44" s="344">
        <f>SUM(L$27:L44)+'2-energy assessment'!AG53+'2-energy assessment'!AN53</f>
        <v>94895.758167354667</v>
      </c>
      <c r="X44" s="394">
        <f>MAX('2-energy assessment'!AF53+SUM(R$27:R44),0)</f>
        <v>117975.12482857972</v>
      </c>
      <c r="Y44" s="394">
        <f>MAX('2-energy assessment'!AG53+SUM(T$27:T44),0)</f>
        <v>130403.7606798858</v>
      </c>
      <c r="Z44" s="395">
        <f>'2-energy assessment'!AH53</f>
        <v>0</v>
      </c>
      <c r="AA44" s="395">
        <f>'2-energy assessment'!AI53+SUM(N$27:N44)</f>
        <v>263157.48352434405</v>
      </c>
      <c r="AB44" s="395">
        <f>'2-energy assessment'!$AJ53+SUM($O$27:$O44)</f>
        <v>264022.8333315858</v>
      </c>
      <c r="AC44" s="395">
        <f>'2-energy assessment'!$AK53+SUM($P$27:$P44)</f>
        <v>339566.15094356524</v>
      </c>
      <c r="AD44" s="395">
        <f>'2-energy assessment'!$AL53+SUM($Q$27:$Q44)</f>
        <v>27215.143377468958</v>
      </c>
      <c r="AE44" s="396">
        <f>MAX('2-energy assessment'!AM53+SUM(S$27:S44),0)</f>
        <v>29652.15025524162</v>
      </c>
      <c r="AF44" s="396">
        <f>MAX('2-energy assessment'!AN53+SUM(U$27:U44),0)</f>
        <v>0</v>
      </c>
      <c r="AG44" s="396">
        <f>'2-energy assessment'!AO53</f>
        <v>412575.1761430144</v>
      </c>
      <c r="AH44" s="396">
        <f>'2-energy assessment'!AP53</f>
        <v>30801.717555848911</v>
      </c>
      <c r="AI44" s="396">
        <f>'2-energy assessment'!AQ53</f>
        <v>28891.533521377656</v>
      </c>
      <c r="AJ44" s="396">
        <f>'2-energy assessment'!AR53</f>
        <v>6079.7328258649213</v>
      </c>
      <c r="AK44" s="396">
        <f>'2-energy assessment'!AS53</f>
        <v>413326.49855931586</v>
      </c>
      <c r="AL44" s="349">
        <f>IFERROR(AE44*'2-energy assessment'!AT53/'2-energy assessment'!AM53,0)</f>
        <v>28103.06818885489</v>
      </c>
      <c r="AM44" s="349">
        <f>IFERROR(AF44*'2-energy assessment'!AU53/'2-energy assessment'!AN53,0)</f>
        <v>0</v>
      </c>
      <c r="AN44" s="349">
        <f>IFERROR(AG44*'2-energy assessment'!AV53/'2-energy assessment'!AO53,0)</f>
        <v>398300.05023328669</v>
      </c>
      <c r="AO44" s="349">
        <f>IFERROR(AH44*'2-energy assessment'!AW53/'2-energy assessment'!AP53,0)</f>
        <v>28734.232820343375</v>
      </c>
      <c r="AP44" s="349">
        <f>IFERROR(AI44*'2-energy assessment'!AX53/'2-energy assessment'!AQ53,0)</f>
        <v>26952.264893500367</v>
      </c>
      <c r="AQ44" s="349">
        <f>IFERROR(AJ44*'2-energy assessment'!AY53/'2-energy assessment'!AR53,0)</f>
        <v>5490.2760716138491</v>
      </c>
      <c r="AR44" s="349">
        <f>IFERROR(AK44*'2-energy assessment'!AZ53/'2-energy assessment'!AS53,0)</f>
        <v>398300.05023328669</v>
      </c>
      <c r="AS44" s="344">
        <f>R44*'Appliance Stock Profile'!$B$21+S44*'Appliance Stock Profile'!$B$20+T44*'Appliance Stock Profile'!$C$21+U44*'Appliance Stock Profile'!$C$20</f>
        <v>-2750085.6230472401</v>
      </c>
      <c r="AT44" s="344">
        <f t="shared" si="10"/>
        <v>17816880.399489567</v>
      </c>
      <c r="AU44" s="344">
        <f>GasEmissions*AS44+'stock-flow model'!$B19*(AT44)/1000</f>
        <v>-14575.453802150372</v>
      </c>
      <c r="AV44" s="344">
        <f>MAX(GasEmissions*SUM($AS$27:$AS44)+'stock-flow model'!$B19*SUM($AT$27:$AT44)/1000,-'2-energy assessment'!BG53)</f>
        <v>-477971.84434560523</v>
      </c>
      <c r="AW44" s="343">
        <f>'2-energy assessment'!BG53+AV44</f>
        <v>272972.62147397816</v>
      </c>
      <c r="AX44" s="344">
        <f>C44+SUM(M$27:M44)</f>
        <v>412575.1761430144</v>
      </c>
      <c r="AY44" s="344">
        <f>'2-energy assessment'!BK53-SUM(M$27:M44)</f>
        <v>27966.465793770414</v>
      </c>
      <c r="AZ44" s="344">
        <f t="shared" si="11"/>
        <v>146582.44085659186</v>
      </c>
      <c r="BA44" s="344">
        <f t="shared" si="12"/>
        <v>1044.8342272294976</v>
      </c>
      <c r="BB44" s="36">
        <f t="shared" si="13"/>
        <v>-14575.453802150325</v>
      </c>
      <c r="BC44" s="36">
        <f t="shared" si="16"/>
        <v>-477971.84434560523</v>
      </c>
      <c r="BD44" s="36">
        <f t="shared" si="17"/>
        <v>0</v>
      </c>
    </row>
    <row r="45" spans="1:56" hidden="1" x14ac:dyDescent="0.3">
      <c r="A45" s="257">
        <f t="shared" si="0"/>
        <v>1</v>
      </c>
      <c r="B45" s="393">
        <v>2038</v>
      </c>
      <c r="C45" s="344">
        <f>'2-energy assessment'!BJ54</f>
        <v>412544.42578936118</v>
      </c>
      <c r="D45" s="344">
        <f>('2-energy assessment'!BH54+SUM($I$27:$I44))*FurnaceReplaceRate*TrueReplaceFurnace</f>
        <v>7328.8566172359951</v>
      </c>
      <c r="E45" s="344">
        <f>('2-energy assessment'!BI54+SUM($J$27:$J44))*TrueReplaceFurnace*(FurnaceReplaceRate+('Appliance Stock Profile'!$H$16-FurnaceReplaceRate)*TrueReplaceFurnaceAC)</f>
        <v>117.03098373001144</v>
      </c>
      <c r="F45" s="344">
        <f>('2-energy assessment'!AG54+'2-energy assessment'!AN54+SUM(L$27:L44))*DHWReplaceRate*TrueReplaceDHW</f>
        <v>8626.0691222671358</v>
      </c>
      <c r="G45" s="344">
        <f t="shared" si="1"/>
        <v>16071.956723233143</v>
      </c>
      <c r="H45" s="207">
        <f t="shared" si="2"/>
        <v>14464.761050909829</v>
      </c>
      <c r="I45" s="347">
        <f t="shared" si="3"/>
        <v>-6595.9709555123954</v>
      </c>
      <c r="J45" s="347">
        <f t="shared" si="4"/>
        <v>-105.3278853570103</v>
      </c>
      <c r="K45" s="347">
        <f t="shared" si="5"/>
        <v>-6701.2988408694055</v>
      </c>
      <c r="L45" s="347">
        <f t="shared" si="6"/>
        <v>-7763.4622100404222</v>
      </c>
      <c r="M45" s="347"/>
      <c r="N45" s="347">
        <f t="shared" si="7"/>
        <v>6595.9709555123954</v>
      </c>
      <c r="O45" s="347">
        <f t="shared" si="8"/>
        <v>6701.2988408694055</v>
      </c>
      <c r="P45" s="347">
        <f t="shared" si="9"/>
        <v>7763.4622100404222</v>
      </c>
      <c r="Q45" s="263"/>
      <c r="R45" s="347">
        <f t="shared" si="14"/>
        <v>-5638.4122687900272</v>
      </c>
      <c r="S45" s="347">
        <f>MIN($K45*('2-energy assessment'!$AM54+SUM($S$27:$S44))/('2-energy assessment'!$AM54+'2-energy assessment'!$AF54+SUM($R$27:R44)+SUM(S$27:S44)),0)</f>
        <v>-1062.8865720793785</v>
      </c>
      <c r="T45" s="347">
        <f t="shared" si="15"/>
        <v>-7763.4622100404222</v>
      </c>
      <c r="U45" s="347">
        <f>MIN($L45*('2-energy assessment'!$AN54+SUM($U$27:$U44))/('2-energy assessment'!$AN54+'2-energy assessment'!$AG54+SUM($L$27:L44)),0)</f>
        <v>0</v>
      </c>
      <c r="V45" s="344">
        <f>'2-energy assessment'!AM54+'2-energy assessment'!AF54+SUM(K$27:K45)</f>
        <v>140908.45983088011</v>
      </c>
      <c r="W45" s="344">
        <f>SUM(L$27:L45)+'2-energy assessment'!AG54+'2-energy assessment'!AN54</f>
        <v>87123.298134898068</v>
      </c>
      <c r="X45" s="394">
        <f>MAX('2-energy assessment'!AF54+SUM(R$27:R45),0)</f>
        <v>118559.10436963361</v>
      </c>
      <c r="Y45" s="394">
        <f>MAX('2-energy assessment'!AG54+SUM(T$27:T45),0)</f>
        <v>128736.21158704523</v>
      </c>
      <c r="Z45" s="395">
        <f>'2-energy assessment'!AH54</f>
        <v>0</v>
      </c>
      <c r="AA45" s="395">
        <f>'2-energy assessment'!AI54+SUM(N$27:N45)</f>
        <v>273413.10161569493</v>
      </c>
      <c r="AB45" s="395">
        <f>'2-energy assessment'!$AJ54+SUM($O$27:$O45)</f>
        <v>274268.64160619554</v>
      </c>
      <c r="AC45" s="395">
        <f>'2-energy assessment'!$AK54+SUM($P$27:$P45)</f>
        <v>349547.47504551825</v>
      </c>
      <c r="AD45" s="395">
        <f>'2-energy assessment'!$AL54+SUM($Q$27:$Q45)</f>
        <v>28816.034164378896</v>
      </c>
      <c r="AE45" s="396">
        <f>MAX('2-energy assessment'!AM54+SUM(S$27:S45),0)</f>
        <v>22349.355461246407</v>
      </c>
      <c r="AF45" s="396">
        <f>MAX('2-energy assessment'!AN54+SUM(U$27:U45),0)</f>
        <v>0</v>
      </c>
      <c r="AG45" s="396">
        <f>'2-energy assessment'!AO54</f>
        <v>412544.42578936118</v>
      </c>
      <c r="AH45" s="396">
        <f>'2-energy assessment'!AP54</f>
        <v>28748.269718792319</v>
      </c>
      <c r="AI45" s="396">
        <f>'2-energy assessment'!AQ54</f>
        <v>26965.431286619147</v>
      </c>
      <c r="AJ45" s="396">
        <f>'2-energy assessment'!AR54</f>
        <v>5471.7595432784292</v>
      </c>
      <c r="AK45" s="396">
        <f>'2-energy assessment'!AS54</f>
        <v>413326.49855931586</v>
      </c>
      <c r="AL45" s="349">
        <f>IFERROR(AE45*'2-energy assessment'!AT54/'2-energy assessment'!AM54,0)</f>
        <v>21089.64458894985</v>
      </c>
      <c r="AM45" s="349">
        <f>IFERROR(AF45*'2-energy assessment'!AU54/'2-energy assessment'!AN54,0)</f>
        <v>0</v>
      </c>
      <c r="AN45" s="349">
        <f>IFERROR(AG45*'2-energy assessment'!AV54/'2-energy assessment'!AO54,0)</f>
        <v>397685.04316022195</v>
      </c>
      <c r="AO45" s="349">
        <f>IFERROR(AH45*'2-energy assessment'!AW54/'2-energy assessment'!AP54,0)</f>
        <v>26641.085444213346</v>
      </c>
      <c r="AP45" s="349">
        <f>IFERROR(AI45*'2-energy assessment'!AX54/'2-energy assessment'!AQ54,0)</f>
        <v>24988.925106587707</v>
      </c>
      <c r="AQ45" s="349">
        <f>IFERROR(AJ45*'2-energy assessment'!AY54/'2-energy assessment'!AR54,0)</f>
        <v>4875.0381912854718</v>
      </c>
      <c r="AR45" s="349">
        <f>IFERROR(AK45*'2-energy assessment'!AZ54/'2-energy assessment'!AS54,0)</f>
        <v>397685.04316022195</v>
      </c>
      <c r="AS45" s="344">
        <f>R45*'Appliance Stock Profile'!$B$21+S45*'Appliance Stock Profile'!$B$20+T45*'Appliance Stock Profile'!$C$21+U45*'Appliance Stock Profile'!$C$20</f>
        <v>-2563363.2976506045</v>
      </c>
      <c r="AT45" s="344">
        <f t="shared" si="10"/>
        <v>16781543.434950586</v>
      </c>
      <c r="AU45" s="344">
        <f>GasEmissions*AS45+'stock-flow model'!$B20*(AT45)/1000</f>
        <v>-13585.825477548204</v>
      </c>
      <c r="AV45" s="344">
        <f>MAX(GasEmissions*SUM($AS$27:$AS45)+'stock-flow model'!$B20*SUM($AT$27:$AT45)/1000,-'2-energy assessment'!BG54)</f>
        <v>-491557.66982315347</v>
      </c>
      <c r="AW45" s="343">
        <f>'2-energy assessment'!BG54+AV45</f>
        <v>254445.74765278917</v>
      </c>
      <c r="AX45" s="344">
        <f>C45+SUM(M$27:M45)</f>
        <v>412544.42578936118</v>
      </c>
      <c r="AY45" s="344">
        <f>'2-energy assessment'!BK54-SUM(M$27:M45)</f>
        <v>29598.106934333591</v>
      </c>
      <c r="AZ45" s="344">
        <f t="shared" si="11"/>
        <v>139981.16138920744</v>
      </c>
      <c r="BA45" s="344">
        <f t="shared" si="12"/>
        <v>927.2984416725667</v>
      </c>
      <c r="BB45" s="36">
        <f t="shared" si="13"/>
        <v>-13585.825477548235</v>
      </c>
      <c r="BC45" s="36">
        <f t="shared" si="16"/>
        <v>-491557.66982315347</v>
      </c>
      <c r="BD45" s="36">
        <f t="shared" si="17"/>
        <v>0</v>
      </c>
    </row>
    <row r="46" spans="1:56" hidden="1" x14ac:dyDescent="0.3">
      <c r="A46" s="257">
        <f t="shared" si="0"/>
        <v>1</v>
      </c>
      <c r="B46" s="393">
        <v>2039</v>
      </c>
      <c r="C46" s="344">
        <f>'2-energy assessment'!BJ55</f>
        <v>412515.08876099746</v>
      </c>
      <c r="D46" s="344">
        <f>('2-energy assessment'!BH55+SUM($I$27:$I45))*FurnaceReplaceRate*TrueReplaceFurnace</f>
        <v>6998.8291044040834</v>
      </c>
      <c r="E46" s="344">
        <f>('2-energy assessment'!BI55+SUM($J$27:$J45))*TrueReplaceFurnace*(FurnaceReplaceRate+('Appliance Stock Profile'!$H$16-FurnaceReplaceRate)*TrueReplaceFurnaceAC)</f>
        <v>103.81428335263686</v>
      </c>
      <c r="F46" s="344">
        <f>('2-energy assessment'!AG55+'2-energy assessment'!AN55+SUM(L$27:L45))*DHWReplaceRate*TrueReplaceDHW</f>
        <v>7919.5911524126641</v>
      </c>
      <c r="G46" s="344">
        <f t="shared" si="1"/>
        <v>15022.234540169384</v>
      </c>
      <c r="H46" s="207">
        <f t="shared" si="2"/>
        <v>13520.011086152446</v>
      </c>
      <c r="I46" s="347">
        <f t="shared" si="3"/>
        <v>-6298.9461939636749</v>
      </c>
      <c r="J46" s="347">
        <f t="shared" si="4"/>
        <v>-93.432855017373186</v>
      </c>
      <c r="K46" s="347">
        <f t="shared" si="5"/>
        <v>-6392.3790489810481</v>
      </c>
      <c r="L46" s="347">
        <f t="shared" si="6"/>
        <v>-7127.6320371713982</v>
      </c>
      <c r="M46" s="347"/>
      <c r="N46" s="347">
        <f t="shared" si="7"/>
        <v>6298.9461939636749</v>
      </c>
      <c r="O46" s="347">
        <f t="shared" si="8"/>
        <v>6392.3790489810481</v>
      </c>
      <c r="P46" s="347">
        <f t="shared" si="9"/>
        <v>7127.6320371713982</v>
      </c>
      <c r="Q46" s="263"/>
      <c r="R46" s="347">
        <f t="shared" si="14"/>
        <v>-5647.2936218190507</v>
      </c>
      <c r="S46" s="347">
        <f>MIN($K46*('2-energy assessment'!$AM55+SUM($S$27:$S45))/('2-energy assessment'!$AM55+'2-energy assessment'!$AF55+SUM($R$27:R45)+SUM(S$27:S45)),0)</f>
        <v>-745.08542716199713</v>
      </c>
      <c r="T46" s="347">
        <f t="shared" si="15"/>
        <v>-7127.6320371713982</v>
      </c>
      <c r="U46" s="347">
        <f>MIN($L46*('2-energy assessment'!$AN55+SUM($U$27:$U45))/('2-energy assessment'!$AN55+'2-energy assessment'!$AG55+SUM($L$27:L45)),0)</f>
        <v>0</v>
      </c>
      <c r="V46" s="344">
        <f>'2-energy assessment'!AM55+'2-energy assessment'!AF55+SUM(K$27:K46)</f>
        <v>134500.21142162397</v>
      </c>
      <c r="W46" s="344">
        <f>SUM(L$27:L46)+'2-energy assessment'!AG55+'2-energy assessment'!AN55</f>
        <v>79987.870639367917</v>
      </c>
      <c r="X46" s="394">
        <f>MAX('2-energy assessment'!AF55+SUM(R$27:R46),0)</f>
        <v>118823.08296716627</v>
      </c>
      <c r="Y46" s="394">
        <f>MAX('2-energy assessment'!AG55+SUM(T$27:T46),0)</f>
        <v>127150.31874732819</v>
      </c>
      <c r="Z46" s="395">
        <f>'2-energy assessment'!AH55</f>
        <v>0</v>
      </c>
      <c r="AA46" s="395">
        <f>'2-energy assessment'!AI55+SUM(N$27:N46)</f>
        <v>283234.0692122805</v>
      </c>
      <c r="AB46" s="395">
        <f>'2-energy assessment'!$AJ55+SUM($O$27:$O46)</f>
        <v>284075.47622146958</v>
      </c>
      <c r="AC46" s="395">
        <f>'2-energy assessment'!$AK55+SUM($P$27:$P46)</f>
        <v>358830.96928228613</v>
      </c>
      <c r="AD46" s="395">
        <f>'2-energy assessment'!$AL55+SUM($Q$27:$Q46)</f>
        <v>30416.924951288835</v>
      </c>
      <c r="AE46" s="396">
        <f>MAX('2-energy assessment'!AM55+SUM(S$27:S46),0)</f>
        <v>15677.128454457634</v>
      </c>
      <c r="AF46" s="396">
        <f>MAX('2-energy assessment'!AN55+SUM(U$27:U46),0)</f>
        <v>0</v>
      </c>
      <c r="AG46" s="396">
        <f>'2-energy assessment'!AO55</f>
        <v>412515.08876099746</v>
      </c>
      <c r="AH46" s="396">
        <f>'2-energy assessment'!AP55</f>
        <v>26831.718404206171</v>
      </c>
      <c r="AI46" s="396">
        <f>'2-energy assessment'!AQ55</f>
        <v>25167.735867511205</v>
      </c>
      <c r="AJ46" s="396">
        <f>'2-energy assessment'!AR55</f>
        <v>4924.5835889505834</v>
      </c>
      <c r="AK46" s="396">
        <f>'2-energy assessment'!AS55</f>
        <v>413326.49855931586</v>
      </c>
      <c r="AL46" s="349">
        <f>IFERROR(AE46*'2-energy assessment'!AT55/'2-energy assessment'!AM55,0)</f>
        <v>14726.374527438138</v>
      </c>
      <c r="AM46" s="349">
        <f>IFERROR(AF46*'2-energy assessment'!AU55/'2-energy assessment'!AN55,0)</f>
        <v>0</v>
      </c>
      <c r="AN46" s="349">
        <f>IFERROR(AG46*'2-energy assessment'!AV55/'2-energy assessment'!AO55,0)</f>
        <v>397098.30259294779</v>
      </c>
      <c r="AO46" s="349">
        <f>IFERROR(AH46*'2-energy assessment'!AW55/'2-energy assessment'!AP55,0)</f>
        <v>24689.43624156202</v>
      </c>
      <c r="AP46" s="349">
        <f>IFERROR(AI46*'2-energy assessment'!AX55/'2-energy assessment'!AQ55,0)</f>
        <v>23158.308412627928</v>
      </c>
      <c r="AQ46" s="349">
        <f>IFERROR(AJ46*'2-energy assessment'!AY55/'2-energy assessment'!AR55,0)</f>
        <v>4321.7185893743035</v>
      </c>
      <c r="AR46" s="349">
        <f>IFERROR(AK46*'2-energy assessment'!AZ55/'2-energy assessment'!AS55,0)</f>
        <v>397098.30259294773</v>
      </c>
      <c r="AS46" s="344">
        <f>R46*'Appliance Stock Profile'!$B$21+S46*'Appliance Stock Profile'!$B$20+T46*'Appliance Stock Profile'!$C$21+U46*'Appliance Stock Profile'!$C$20</f>
        <v>-2389864.5757781523</v>
      </c>
      <c r="AT46" s="344">
        <f t="shared" si="10"/>
        <v>15812232.865633406</v>
      </c>
      <c r="AU46" s="344">
        <f>GasEmissions*AS46+'stock-flow model'!$B21*(AT46)/1000</f>
        <v>-12666.282251624207</v>
      </c>
      <c r="AV46" s="344">
        <f>MAX(GasEmissions*SUM($AS$27:$AS46)+'stock-flow model'!$B21*SUM($AT$27:$AT46)/1000,-'2-energy assessment'!BG55)</f>
        <v>-504223.95207477768</v>
      </c>
      <c r="AW46" s="343">
        <f>'2-energy assessment'!BG55+AV46</f>
        <v>237227.42275468784</v>
      </c>
      <c r="AX46" s="344">
        <f>C46+SUM(M$27:M46)</f>
        <v>412515.08876099746</v>
      </c>
      <c r="AY46" s="344">
        <f>'2-energy assessment'!BK55-SUM(M$27:M46)</f>
        <v>31228.334749607238</v>
      </c>
      <c r="AZ46" s="344">
        <f t="shared" si="11"/>
        <v>133677.63589411799</v>
      </c>
      <c r="BA46" s="344">
        <f t="shared" si="12"/>
        <v>822.57552750589093</v>
      </c>
      <c r="BB46" s="36">
        <f t="shared" si="13"/>
        <v>-12666.282251624216</v>
      </c>
      <c r="BC46" s="36">
        <f t="shared" si="16"/>
        <v>-504223.95207477768</v>
      </c>
      <c r="BD46" s="36">
        <f t="shared" si="17"/>
        <v>0</v>
      </c>
    </row>
    <row r="47" spans="1:56" hidden="1" x14ac:dyDescent="0.3">
      <c r="A47" s="257">
        <f t="shared" si="0"/>
        <v>1</v>
      </c>
      <c r="B47" s="393">
        <v>2040</v>
      </c>
      <c r="C47" s="344">
        <f>'2-energy assessment'!BJ56</f>
        <v>412487.10009969882</v>
      </c>
      <c r="D47" s="344">
        <f>('2-energy assessment'!BH56+SUM($I$27:$I46))*FurnaceReplaceRate*TrueReplaceFurnace</f>
        <v>6683.6842739527146</v>
      </c>
      <c r="E47" s="344">
        <f>('2-energy assessment'!BI56+SUM($J$27:$J46))*TrueReplaceFurnace*(FurnaceReplaceRate+('Appliance Stock Profile'!$H$16-FurnaceReplaceRate)*TrueReplaceFurnaceAC)</f>
        <v>92.043561645325454</v>
      </c>
      <c r="F47" s="344">
        <f>('2-energy assessment'!AG56+'2-energy assessment'!AN56+SUM(L$27:L46))*DHWReplaceRate*TrueReplaceDHW</f>
        <v>7271.010694206936</v>
      </c>
      <c r="G47" s="344">
        <f t="shared" si="1"/>
        <v>14046.738529804976</v>
      </c>
      <c r="H47" s="207">
        <f t="shared" si="2"/>
        <v>12642.064676824479</v>
      </c>
      <c r="I47" s="347">
        <f t="shared" si="3"/>
        <v>-6015.3158465574434</v>
      </c>
      <c r="J47" s="347">
        <f t="shared" si="4"/>
        <v>-82.839205480792913</v>
      </c>
      <c r="K47" s="347">
        <f t="shared" si="5"/>
        <v>-6098.1550520382361</v>
      </c>
      <c r="L47" s="347">
        <f t="shared" si="6"/>
        <v>-6543.9096247862426</v>
      </c>
      <c r="M47" s="347"/>
      <c r="N47" s="347">
        <f t="shared" si="7"/>
        <v>6015.3158465574434</v>
      </c>
      <c r="O47" s="347">
        <f t="shared" si="8"/>
        <v>6098.1550520382361</v>
      </c>
      <c r="P47" s="347">
        <f t="shared" si="9"/>
        <v>6543.9096247862426</v>
      </c>
      <c r="Q47" s="263"/>
      <c r="R47" s="347">
        <f t="shared" si="14"/>
        <v>-5642.5797411424064</v>
      </c>
      <c r="S47" s="347">
        <f>MIN($K47*('2-energy assessment'!$AM56+SUM($S$27:$S46))/('2-energy assessment'!$AM56+'2-energy assessment'!$AF56+SUM($R$27:R46)+SUM(S$27:S46)),0)</f>
        <v>-455.57531089582994</v>
      </c>
      <c r="T47" s="347">
        <f t="shared" si="15"/>
        <v>-6543.9096247862426</v>
      </c>
      <c r="U47" s="347">
        <f>MIN($L47*('2-energy assessment'!$AN56+SUM($U$27:$U46))/('2-energy assessment'!$AN56+'2-energy assessment'!$AG56+SUM($L$27:L46)),0)</f>
        <v>0</v>
      </c>
      <c r="V47" s="344">
        <f>'2-energy assessment'!AM56+'2-energy assessment'!AF56+SUM(K$27:K47)</f>
        <v>128387.67950035725</v>
      </c>
      <c r="W47" s="344">
        <f>SUM(L$27:L47)+'2-energy assessment'!AG56+'2-energy assessment'!AN56</f>
        <v>73437.20801149006</v>
      </c>
      <c r="X47" s="394">
        <f>MAX('2-energy assessment'!AF56+SUM(R$27:R47),0)</f>
        <v>118796.21183440799</v>
      </c>
      <c r="Y47" s="394">
        <f>MAX('2-energy assessment'!AG56+SUM(T$27:T47),0)</f>
        <v>125644.35384750058</v>
      </c>
      <c r="Z47" s="395">
        <f>'2-energy assessment'!AH56</f>
        <v>0</v>
      </c>
      <c r="AA47" s="395">
        <f>'2-energy assessment'!AI56+SUM(N$27:N47)</f>
        <v>292643.00748775864</v>
      </c>
      <c r="AB47" s="395">
        <f>'2-energy assessment'!$AJ56+SUM($O$27:$O47)</f>
        <v>293466.74798748031</v>
      </c>
      <c r="AC47" s="395">
        <f>'2-energy assessment'!$AK56+SUM($P$27:$P47)</f>
        <v>367474.98105596902</v>
      </c>
      <c r="AD47" s="395">
        <f>'2-energy assessment'!$AL56+SUM($Q$27:$Q47)</f>
        <v>32017.815738198773</v>
      </c>
      <c r="AE47" s="396">
        <f>MAX('2-energy assessment'!AM56+SUM(S$27:S47),0)</f>
        <v>9591.4676659491815</v>
      </c>
      <c r="AF47" s="396">
        <f>MAX('2-energy assessment'!AN56+SUM(U$27:U47),0)</f>
        <v>0</v>
      </c>
      <c r="AG47" s="396">
        <f>'2-energy assessment'!AO56</f>
        <v>412487.10009969882</v>
      </c>
      <c r="AH47" s="396">
        <f>'2-energy assessment'!AP56</f>
        <v>25042.937177259097</v>
      </c>
      <c r="AI47" s="396">
        <f>'2-energy assessment'!AQ56</f>
        <v>23489.886809677118</v>
      </c>
      <c r="AJ47" s="396">
        <f>'2-energy assessment'!AR56</f>
        <v>4432.1252300555279</v>
      </c>
      <c r="AK47" s="396">
        <f>'2-energy assessment'!AS56</f>
        <v>413326.49855931586</v>
      </c>
      <c r="AL47" s="349">
        <f>IFERROR(AE47*'2-energy assessment'!AT56/'2-energy assessment'!AM56,0)</f>
        <v>8967.0873676396823</v>
      </c>
      <c r="AM47" s="349">
        <f>IFERROR(AF47*'2-energy assessment'!AU56/'2-energy assessment'!AN56,0)</f>
        <v>0</v>
      </c>
      <c r="AN47" s="349">
        <f>IFERROR(AG47*'2-energy assessment'!AV56/'2-energy assessment'!AO56,0)</f>
        <v>396538.52936697536</v>
      </c>
      <c r="AO47" s="349">
        <f>IFERROR(AH47*'2-energy assessment'!AW56/'2-energy assessment'!AP56,0)</f>
        <v>22869.640372246035</v>
      </c>
      <c r="AP47" s="349">
        <f>IFERROR(AI47*'2-energy assessment'!AX56/'2-energy assessment'!AQ56,0)</f>
        <v>21451.368101098979</v>
      </c>
      <c r="AQ47" s="349">
        <f>IFERROR(AJ47*'2-energy assessment'!AY56/'2-energy assessment'!AR56,0)</f>
        <v>3824.0742156464839</v>
      </c>
      <c r="AR47" s="349">
        <f>IFERROR(AK47*'2-energy assessment'!AZ56/'2-energy assessment'!AS56,0)</f>
        <v>396538.52936697542</v>
      </c>
      <c r="AS47" s="344">
        <f>R47*'Appliance Stock Profile'!$B$21+S47*'Appliance Stock Profile'!$B$20+T47*'Appliance Stock Profile'!$C$21+U47*'Appliance Stock Profile'!$C$20</f>
        <v>-2228612.264642952</v>
      </c>
      <c r="AT47" s="344">
        <f t="shared" si="10"/>
        <v>14904354.109168347</v>
      </c>
      <c r="AU47" s="344">
        <f>GasEmissions*AS47+'stock-flow model'!$B22*(AT47)/1000</f>
        <v>-11811.645002607645</v>
      </c>
      <c r="AV47" s="344">
        <f>MAX(GasEmissions*SUM($AS$27:$AS47)+'stock-flow model'!$B22*SUM($AT$27:$AT47)/1000,-'2-energy assessment'!BG56)</f>
        <v>-516035.59707738535</v>
      </c>
      <c r="AW47" s="343">
        <f>'2-energy assessment'!BG56+AV47</f>
        <v>221220.27004300075</v>
      </c>
      <c r="AX47" s="344">
        <f>C47+SUM(M$27:M47)</f>
        <v>412487.10009969882</v>
      </c>
      <c r="AY47" s="344">
        <f>'2-energy assessment'!BK56-SUM(M$27:M47)</f>
        <v>32857.214197815796</v>
      </c>
      <c r="AZ47" s="344">
        <f t="shared" si="11"/>
        <v>127658.36963249686</v>
      </c>
      <c r="BA47" s="344">
        <f t="shared" si="12"/>
        <v>729.30986786031281</v>
      </c>
      <c r="BB47" s="36">
        <f t="shared" si="13"/>
        <v>-11811.645002607664</v>
      </c>
      <c r="BC47" s="36">
        <f t="shared" si="16"/>
        <v>-516035.59707738535</v>
      </c>
      <c r="BD47" s="36">
        <f t="shared" si="17"/>
        <v>0</v>
      </c>
    </row>
    <row r="48" spans="1:56" hidden="1" x14ac:dyDescent="0.3">
      <c r="A48" s="257">
        <f t="shared" si="0"/>
        <v>1</v>
      </c>
      <c r="B48" s="393">
        <v>2041</v>
      </c>
      <c r="C48" s="344">
        <f>'2-energy assessment'!BJ57</f>
        <v>412460.39783280337</v>
      </c>
      <c r="D48" s="344">
        <f>('2-energy assessment'!BH57+SUM($I$27:$I47))*FurnaceReplaceRate*TrueReplaceFurnace</f>
        <v>6382.7480815554127</v>
      </c>
      <c r="E48" s="344">
        <f>('2-energy assessment'!BI57+SUM($J$27:$J47))*TrueReplaceFurnace*(FurnaceReplaceRate+('Appliance Stock Profile'!$H$16-FurnaceReplaceRate)*TrueReplaceFurnaceAC)</f>
        <v>81.565254284327821</v>
      </c>
      <c r="F48" s="344">
        <f>('2-energy assessment'!AG57+'2-energy assessment'!AN57+SUM(L$27:L47))*DHWReplaceRate*TrueReplaceDHW</f>
        <v>6675.5780714856437</v>
      </c>
      <c r="G48" s="344">
        <f t="shared" si="1"/>
        <v>13139.891407325384</v>
      </c>
      <c r="H48" s="207">
        <f t="shared" si="2"/>
        <v>11825.902266592846</v>
      </c>
      <c r="I48" s="347">
        <f t="shared" si="3"/>
        <v>-5744.4732733998717</v>
      </c>
      <c r="J48" s="347">
        <f t="shared" si="4"/>
        <v>-73.408728855895035</v>
      </c>
      <c r="K48" s="347">
        <f t="shared" si="5"/>
        <v>-5817.8820022557666</v>
      </c>
      <c r="L48" s="347">
        <f t="shared" si="6"/>
        <v>-6008.0202643370794</v>
      </c>
      <c r="M48" s="347"/>
      <c r="N48" s="347">
        <f t="shared" si="7"/>
        <v>5744.4732733998717</v>
      </c>
      <c r="O48" s="347">
        <f t="shared" si="8"/>
        <v>5817.8820022557666</v>
      </c>
      <c r="P48" s="347">
        <f t="shared" si="9"/>
        <v>6008.0202643370794</v>
      </c>
      <c r="Q48" s="263"/>
      <c r="R48" s="347">
        <f t="shared" si="14"/>
        <v>-5625.5675703251209</v>
      </c>
      <c r="S48" s="347">
        <f>MIN($K48*('2-energy assessment'!$AM57+SUM($S$27:$S47))/('2-energy assessment'!$AM57+'2-energy assessment'!$AF57+SUM($R$27:R47)+SUM(S$27:S47)),0)</f>
        <v>-192.31443193064547</v>
      </c>
      <c r="T48" s="347">
        <f t="shared" si="15"/>
        <v>-6008.0202643370794</v>
      </c>
      <c r="U48" s="347">
        <f>MIN($L48*('2-energy assessment'!$AN57+SUM($U$27:$U47))/('2-energy assessment'!$AN57+'2-energy assessment'!$AG57+SUM($L$27:L47)),0)</f>
        <v>0</v>
      </c>
      <c r="V48" s="344">
        <f>'2-energy assessment'!AM57+'2-energy assessment'!AF57+SUM(K$27:K48)</f>
        <v>122556.77304900833</v>
      </c>
      <c r="W48" s="344">
        <f>SUM(L$27:L48)+'2-energy assessment'!AG57+'2-energy assessment'!AN57</f>
        <v>67423.338522004997</v>
      </c>
      <c r="X48" s="394">
        <f>MAX('2-energy assessment'!AF57+SUM(R$27:R48),0)</f>
        <v>118505.5674420478</v>
      </c>
      <c r="Y48" s="394">
        <f>MAX('2-energy assessment'!AG57+SUM(T$27:T48),0)</f>
        <v>124216.28333312582</v>
      </c>
      <c r="Z48" s="395">
        <f>'2-energy assessment'!AH57</f>
        <v>0</v>
      </c>
      <c r="AA48" s="395">
        <f>'2-energy assessment'!AI57+SUM(N$27:N48)</f>
        <v>301661.30869460775</v>
      </c>
      <c r="AB48" s="395">
        <f>'2-energy assessment'!$AJ57+SUM($O$27:$O48)</f>
        <v>302464.53767971758</v>
      </c>
      <c r="AC48" s="395">
        <f>'2-energy assessment'!$AK57+SUM($P$27:$P48)</f>
        <v>375532.95385536959</v>
      </c>
      <c r="AD48" s="395">
        <f>'2-energy assessment'!$AL57+SUM($Q$27:$Q48)</f>
        <v>33618.706525108712</v>
      </c>
      <c r="AE48" s="396">
        <f>MAX('2-energy assessment'!AM57+SUM(S$27:S48),0)</f>
        <v>4051.2056069604878</v>
      </c>
      <c r="AF48" s="396">
        <f>MAX('2-energy assessment'!AN57+SUM(U$27:U48),0)</f>
        <v>0</v>
      </c>
      <c r="AG48" s="396">
        <f>'2-energy assessment'!AO57</f>
        <v>412460.39783280337</v>
      </c>
      <c r="AH48" s="396">
        <f>'2-energy assessment'!AP57</f>
        <v>23373.408032108491</v>
      </c>
      <c r="AI48" s="396">
        <f>'2-energy assessment'!AQ57</f>
        <v>21923.894355698649</v>
      </c>
      <c r="AJ48" s="396">
        <f>'2-energy assessment'!AR57</f>
        <v>3988.9127070499744</v>
      </c>
      <c r="AK48" s="396">
        <f>'2-energy assessment'!AS57</f>
        <v>413326.49855931586</v>
      </c>
      <c r="AL48" s="349">
        <f>IFERROR(AE48*'2-energy assessment'!AT57/'2-energy assessment'!AM57,0)</f>
        <v>3768.7103387012439</v>
      </c>
      <c r="AM48" s="349">
        <f>IFERROR(AF48*'2-energy assessment'!AU57/'2-energy assessment'!AN57,0)</f>
        <v>0</v>
      </c>
      <c r="AN48" s="349">
        <f>IFERROR(AG48*'2-energy assessment'!AV57/'2-energy assessment'!AO57,0)</f>
        <v>396004.48402906547</v>
      </c>
      <c r="AO48" s="349">
        <f>IFERROR(AH48*'2-energy assessment'!AW57/'2-energy assessment'!AP57,0)</f>
        <v>21172.719272784572</v>
      </c>
      <c r="AP48" s="349">
        <f>IFERROR(AI48*'2-energy assessment'!AX57/'2-energy assessment'!AQ57,0)</f>
        <v>19859.682418658384</v>
      </c>
      <c r="AQ48" s="349">
        <f>IFERROR(AJ48*'2-energy assessment'!AY57/'2-energy assessment'!AR57,0)</f>
        <v>3376.4933943794676</v>
      </c>
      <c r="AR48" s="349">
        <f>IFERROR(AK48*'2-energy assessment'!AZ57/'2-energy assessment'!AS57,0)</f>
        <v>396004.48402906547</v>
      </c>
      <c r="AS48" s="344">
        <f>R48*'Appliance Stock Profile'!$B$21+S48*'Appliance Stock Profile'!$B$20+T48*'Appliance Stock Profile'!$C$21+U48*'Appliance Stock Profile'!$C$20</f>
        <v>-2078704.2368662877</v>
      </c>
      <c r="AT48" s="344">
        <f t="shared" si="10"/>
        <v>14053655.471893681</v>
      </c>
      <c r="AU48" s="344">
        <f>GasEmissions*AS48+'stock-flow model'!$B23*(AT48)/1000</f>
        <v>-11017.132455391325</v>
      </c>
      <c r="AV48" s="344">
        <f>MAX(GasEmissions*SUM($AS$27:$AS48)+'stock-flow model'!$B23*SUM($AT$27:$AT48)/1000,-'2-energy assessment'!BG57)</f>
        <v>-527052.72953277663</v>
      </c>
      <c r="AW48" s="343">
        <f>'2-energy assessment'!BG57+AV48</f>
        <v>206334.51743806491</v>
      </c>
      <c r="AX48" s="344">
        <f>C48+SUM(M$27:M48)</f>
        <v>412460.39783280337</v>
      </c>
      <c r="AY48" s="344">
        <f>'2-energy assessment'!BK57-SUM(M$27:M48)</f>
        <v>34484.807251621234</v>
      </c>
      <c r="AZ48" s="344">
        <f t="shared" si="11"/>
        <v>121910.48835770829</v>
      </c>
      <c r="BA48" s="344">
        <f t="shared" si="12"/>
        <v>646.28469130001031</v>
      </c>
      <c r="BB48" s="36">
        <f t="shared" si="13"/>
        <v>-11017.132455391287</v>
      </c>
      <c r="BC48" s="36">
        <f t="shared" si="16"/>
        <v>-527052.72953277663</v>
      </c>
      <c r="BD48" s="36">
        <f t="shared" si="17"/>
        <v>0</v>
      </c>
    </row>
    <row r="49" spans="1:56" hidden="1" x14ac:dyDescent="0.3">
      <c r="A49" s="257">
        <f t="shared" si="0"/>
        <v>1</v>
      </c>
      <c r="B49" s="393">
        <v>2042</v>
      </c>
      <c r="C49" s="344">
        <f>'2-energy assessment'!BJ58</f>
        <v>412434.92283599119</v>
      </c>
      <c r="D49" s="344">
        <f>('2-energy assessment'!BH58+SUM($I$27:$I48))*FurnaceReplaceRate*TrueReplaceFurnace</f>
        <v>6095.377411270154</v>
      </c>
      <c r="E49" s="344">
        <f>('2-energy assessment'!BI58+SUM($J$27:$J48))*TrueReplaceFurnace*(FurnaceReplaceRate+('Appliance Stock Profile'!$H$16-FurnaceReplaceRate)*TrueReplaceFurnaceAC)</f>
        <v>72.2415969952566</v>
      </c>
      <c r="F49" s="344">
        <f>('2-energy assessment'!AG58+'2-energy assessment'!AN58+SUM(L$27:L48))*DHWReplaceRate*TrueReplaceDHW</f>
        <v>6128.9338919804695</v>
      </c>
      <c r="G49" s="344">
        <f t="shared" si="1"/>
        <v>12296.552900245879</v>
      </c>
      <c r="H49" s="207">
        <f t="shared" si="2"/>
        <v>11066.897610221291</v>
      </c>
      <c r="I49" s="347">
        <f t="shared" si="3"/>
        <v>-5485.8396701431384</v>
      </c>
      <c r="J49" s="347">
        <f t="shared" si="4"/>
        <v>-65.017437295730943</v>
      </c>
      <c r="K49" s="347">
        <f t="shared" si="5"/>
        <v>-5550.8571074388692</v>
      </c>
      <c r="L49" s="347">
        <f t="shared" si="6"/>
        <v>-5516.0405027824227</v>
      </c>
      <c r="M49" s="347"/>
      <c r="N49" s="347">
        <f t="shared" si="7"/>
        <v>5485.8396701431384</v>
      </c>
      <c r="O49" s="347">
        <f t="shared" si="8"/>
        <v>5550.8571074388692</v>
      </c>
      <c r="P49" s="347">
        <f t="shared" si="9"/>
        <v>5516.0405027824227</v>
      </c>
      <c r="Q49" s="263"/>
      <c r="R49" s="347">
        <f t="shared" si="14"/>
        <v>-5550.8571074388692</v>
      </c>
      <c r="S49" s="347">
        <f>MIN($K49*('2-energy assessment'!$AM58+SUM($S$27:$S48))/('2-energy assessment'!$AM58+'2-energy assessment'!$AF58+SUM($R$27:R48)+SUM(S$27:S48)),0)</f>
        <v>0</v>
      </c>
      <c r="T49" s="347">
        <f t="shared" si="15"/>
        <v>-5516.0405027824227</v>
      </c>
      <c r="U49" s="347">
        <f>MIN($L49*('2-energy assessment'!$AN58+SUM($U$27:$U48))/('2-energy assessment'!$AN58+'2-energy assessment'!$AG58+SUM($L$27:L48)),0)</f>
        <v>0</v>
      </c>
      <c r="V49" s="344">
        <f>'2-energy assessment'!AM58+'2-energy assessment'!AF58+SUM(K$27:K49)</f>
        <v>116994.11697380475</v>
      </c>
      <c r="W49" s="344">
        <f>SUM(L$27:L49)+'2-energy assessment'!AG58+'2-energy assessment'!AN58</f>
        <v>61902.232309002749</v>
      </c>
      <c r="X49" s="394">
        <f>MAX('2-energy assessment'!AF58+SUM(R$27:R49),0)</f>
        <v>118022.8873536756</v>
      </c>
      <c r="Y49" s="394">
        <f>MAX('2-energy assessment'!AG58+SUM(T$27:T49),0)</f>
        <v>122863.83351212731</v>
      </c>
      <c r="Z49" s="395">
        <f>'2-energy assessment'!AH58</f>
        <v>0</v>
      </c>
      <c r="AA49" s="395">
        <f>'2-energy assessment'!AI58+SUM(N$27:N49)</f>
        <v>310309.20648610668</v>
      </c>
      <c r="AB49" s="395">
        <f>'2-energy assessment'!$AJ58+SUM($O$27:$O49)</f>
        <v>311089.67749887775</v>
      </c>
      <c r="AC49" s="395">
        <f>'2-energy assessment'!$AK58+SUM($P$27:$P49)</f>
        <v>383053.84212598682</v>
      </c>
      <c r="AD49" s="395">
        <f>'2-energy assessment'!$AL58+SUM($Q$27:$Q49)</f>
        <v>35219.597312018654</v>
      </c>
      <c r="AE49" s="396">
        <f>MAX('2-energy assessment'!AM58+SUM(S$27:S49),0)</f>
        <v>0</v>
      </c>
      <c r="AF49" s="396">
        <f>MAX('2-energy assessment'!AN58+SUM(U$27:U49),0)</f>
        <v>0</v>
      </c>
      <c r="AG49" s="396">
        <f>'2-energy assessment'!AO58</f>
        <v>412434.92283599119</v>
      </c>
      <c r="AH49" s="396">
        <f>'2-energy assessment'!AP58</f>
        <v>21815.180829967925</v>
      </c>
      <c r="AI49" s="396">
        <f>'2-energy assessment'!AQ58</f>
        <v>20462.301398652067</v>
      </c>
      <c r="AJ49" s="396">
        <f>'2-energy assessment'!AR58</f>
        <v>3590.0214363449777</v>
      </c>
      <c r="AK49" s="396">
        <f>'2-energy assessment'!AS58</f>
        <v>413326.49855931586</v>
      </c>
      <c r="AL49" s="349">
        <f>IFERROR(AE49*'2-energy assessment'!AT58/'2-energy assessment'!AM58,0)</f>
        <v>0</v>
      </c>
      <c r="AM49" s="349">
        <f>IFERROR(AF49*'2-energy assessment'!AU58/'2-energy assessment'!AN58,0)</f>
        <v>0</v>
      </c>
      <c r="AN49" s="349">
        <f>IFERROR(AG49*'2-energy assessment'!AV58/'2-energy assessment'!AO58,0)</f>
        <v>395494.98409282253</v>
      </c>
      <c r="AO49" s="349">
        <f>IFERROR(AH49*'2-energy assessment'!AW58/'2-energy assessment'!AP58,0)</f>
        <v>19590.313648756553</v>
      </c>
      <c r="AP49" s="349">
        <f>IFERROR(AI49*'2-energy assessment'!AX58/'2-energy assessment'!AQ58,0)</f>
        <v>18375.410476740628</v>
      </c>
      <c r="AQ49" s="349">
        <f>IFERROR(AJ49*'2-energy assessment'!AY58/'2-energy assessment'!AR58,0)</f>
        <v>2973.931688564559</v>
      </c>
      <c r="AR49" s="349">
        <f>IFERROR(AK49*'2-energy assessment'!AZ58/'2-energy assessment'!AS58,0)</f>
        <v>395494.98409282253</v>
      </c>
      <c r="AS49" s="344">
        <f>R49*'Appliance Stock Profile'!$B$21+S49*'Appliance Stock Profile'!$B$20+T49*'Appliance Stock Profile'!$C$21+U49*'Appliance Stock Profile'!$C$20</f>
        <v>-1941406.831733651</v>
      </c>
      <c r="AT49" s="344">
        <f t="shared" si="10"/>
        <v>13256201.260553908</v>
      </c>
      <c r="AU49" s="344">
        <f>GasEmissions*AS49+'stock-flow model'!$B24*(AT49)/1000</f>
        <v>-10289.456208188351</v>
      </c>
      <c r="AV49" s="344">
        <f>MAX(GasEmissions*SUM($AS$27:$AS49)+'stock-flow model'!$B24*SUM($AT$27:$AT49)/1000,-'2-energy assessment'!BG58)</f>
        <v>-537342.18574096495</v>
      </c>
      <c r="AW49" s="343">
        <f>'2-energy assessment'!BG58+AV49</f>
        <v>192476.25201375235</v>
      </c>
      <c r="AX49" s="344">
        <f>C49+SUM(M$27:M49)</f>
        <v>412434.92283599119</v>
      </c>
      <c r="AY49" s="344">
        <f>'2-energy assessment'!BK58-SUM(M$27:M49)</f>
        <v>36111.173035343323</v>
      </c>
      <c r="AZ49" s="344">
        <f t="shared" si="11"/>
        <v>117450.47893513083</v>
      </c>
      <c r="BA49" s="344">
        <f t="shared" si="12"/>
        <v>572.4084185447864</v>
      </c>
      <c r="BB49" s="36">
        <f t="shared" si="13"/>
        <v>-10289.45620818832</v>
      </c>
      <c r="BC49" s="36">
        <f t="shared" si="16"/>
        <v>-537342.18574096495</v>
      </c>
      <c r="BD49" s="36">
        <f t="shared" si="17"/>
        <v>0</v>
      </c>
    </row>
    <row r="50" spans="1:56" hidden="1" x14ac:dyDescent="0.3">
      <c r="A50" s="257">
        <f t="shared" si="0"/>
        <v>1</v>
      </c>
      <c r="B50" s="393">
        <v>2043</v>
      </c>
      <c r="C50" s="344">
        <f>'2-energy assessment'!BJ59</f>
        <v>412410.61870237143</v>
      </c>
      <c r="D50" s="344">
        <f>('2-energy assessment'!BH59+SUM($I$27:$I49))*FurnaceReplaceRate*TrueReplaceFurnace</f>
        <v>5820.9586010324483</v>
      </c>
      <c r="E50" s="344">
        <f>('2-energy assessment'!BI59+SUM($J$27:$J49))*TrueReplaceFurnace*(FurnaceReplaceRate+('Appliance Stock Profile'!$H$16-FurnaceReplaceRate)*TrueReplaceFurnaceAC)</f>
        <v>63.949062006929317</v>
      </c>
      <c r="F50" s="344">
        <f>('2-energy assessment'!AG59+'2-energy assessment'!AN59+SUM(L$27:L49))*DHWReplaceRate*TrueReplaceDHW</f>
        <v>5627.0768928670759</v>
      </c>
      <c r="G50" s="344">
        <f t="shared" si="1"/>
        <v>11511.984555906454</v>
      </c>
      <c r="H50" s="207">
        <f t="shared" si="2"/>
        <v>10360.786100315809</v>
      </c>
      <c r="I50" s="347">
        <f t="shared" si="3"/>
        <v>-5238.8627409292039</v>
      </c>
      <c r="J50" s="347">
        <f t="shared" si="4"/>
        <v>-57.554155806236388</v>
      </c>
      <c r="K50" s="347">
        <f t="shared" si="5"/>
        <v>-5296.4168967354399</v>
      </c>
      <c r="L50" s="347">
        <f t="shared" si="6"/>
        <v>-5064.3692035803688</v>
      </c>
      <c r="M50" s="347"/>
      <c r="N50" s="347">
        <f t="shared" si="7"/>
        <v>5238.8627409292039</v>
      </c>
      <c r="O50" s="347">
        <f t="shared" si="8"/>
        <v>5296.4168967354399</v>
      </c>
      <c r="P50" s="347">
        <f t="shared" si="9"/>
        <v>5064.3692035803688</v>
      </c>
      <c r="Q50" s="263"/>
      <c r="R50" s="347">
        <f t="shared" si="14"/>
        <v>-5296.4168967354399</v>
      </c>
      <c r="S50" s="347">
        <f>MIN($K50*('2-energy assessment'!$AM59+SUM($S$27:$S49))/('2-energy assessment'!$AM59+'2-energy assessment'!$AF59+SUM($R$27:R49)+SUM(S$27:S49)),0)</f>
        <v>0</v>
      </c>
      <c r="T50" s="347">
        <f t="shared" si="15"/>
        <v>-5064.3692035803688</v>
      </c>
      <c r="U50" s="347">
        <f>MIN($L50*('2-energy assessment'!$AN59+SUM($U$27:$U49))/('2-energy assessment'!$AN59+'2-energy assessment'!$AG59+SUM($L$27:L49)),0)</f>
        <v>0</v>
      </c>
      <c r="V50" s="344">
        <f>'2-energy assessment'!AM59+'2-energy assessment'!AF59+SUM(K$27:K50)</f>
        <v>111687.01155338649</v>
      </c>
      <c r="W50" s="344">
        <f>SUM(L$27:L50)+'2-energy assessment'!AG59+'2-energy assessment'!AN59</f>
        <v>56833.47661795748</v>
      </c>
      <c r="X50" s="394">
        <f>MAX('2-energy assessment'!AF59+SUM(R$27:R50),0)</f>
        <v>117541.23862505348</v>
      </c>
      <c r="Y50" s="394">
        <f>MAX('2-energy assessment'!AG59+SUM(T$27:T50),0)</f>
        <v>121584.54674653235</v>
      </c>
      <c r="Z50" s="395">
        <f>'2-energy assessment'!AH59</f>
        <v>0</v>
      </c>
      <c r="AA50" s="395">
        <f>'2-energy assessment'!AI59+SUM(N$27:N50)</f>
        <v>318605.8419372213</v>
      </c>
      <c r="AB50" s="395">
        <f>'2-energy assessment'!$AJ59+SUM($O$27:$O50)</f>
        <v>319361.82713278267</v>
      </c>
      <c r="AC50" s="395">
        <f>'2-energy assessment'!$AK59+SUM($P$27:$P50)</f>
        <v>390082.49074757652</v>
      </c>
      <c r="AD50" s="395">
        <f>'2-energy assessment'!$AL59+SUM($Q$27:$Q50)</f>
        <v>36820.488098928596</v>
      </c>
      <c r="AE50" s="396">
        <f>MAX('2-energy assessment'!AM59+SUM(S$27:S50),0)</f>
        <v>0</v>
      </c>
      <c r="AF50" s="396">
        <f>MAX('2-energy assessment'!AN59+SUM(U$27:U50),0)</f>
        <v>0</v>
      </c>
      <c r="AG50" s="396">
        <f>'2-energy assessment'!AO59</f>
        <v>412410.61870237143</v>
      </c>
      <c r="AH50" s="396">
        <f>'2-energy assessment'!AP59</f>
        <v>20360.835441303396</v>
      </c>
      <c r="AI50" s="396">
        <f>'2-energy assessment'!AQ59</f>
        <v>19098.147972075269</v>
      </c>
      <c r="AJ50" s="396">
        <f>'2-energy assessment'!AR59</f>
        <v>3231.0192927104799</v>
      </c>
      <c r="AK50" s="396">
        <f>'2-energy assessment'!AS59</f>
        <v>413326.49855931586</v>
      </c>
      <c r="AL50" s="349">
        <f>IFERROR(AE50*'2-energy assessment'!AT59/'2-energy assessment'!AM59,0)</f>
        <v>0</v>
      </c>
      <c r="AM50" s="349">
        <f>IFERROR(AF50*'2-energy assessment'!AU59/'2-energy assessment'!AN59,0)</f>
        <v>0</v>
      </c>
      <c r="AN50" s="349">
        <f>IFERROR(AG50*'2-energy assessment'!AV59/'2-energy assessment'!AO59,0)</f>
        <v>395008.9014204272</v>
      </c>
      <c r="AO50" s="349">
        <f>IFERROR(AH50*'2-energy assessment'!AW59/'2-energy assessment'!AP59,0)</f>
        <v>18114.639891480118</v>
      </c>
      <c r="AP50" s="349">
        <f>IFERROR(AI50*'2-energy assessment'!AX59/'2-energy assessment'!AQ59,0)</f>
        <v>16991.25137107824</v>
      </c>
      <c r="AQ50" s="349">
        <f>IFERROR(AJ50*'2-energy assessment'!AY59/'2-energy assessment'!AR59,0)</f>
        <v>2611.854320027338</v>
      </c>
      <c r="AR50" s="349">
        <f>IFERROR(AK50*'2-energy assessment'!AZ59/'2-energy assessment'!AS59,0)</f>
        <v>395008.90142042725</v>
      </c>
      <c r="AS50" s="344">
        <f>R50*'Appliance Stock Profile'!$B$21+S50*'Appliance Stock Profile'!$B$20+T50*'Appliance Stock Profile'!$C$21+U50*'Appliance Stock Profile'!$C$20</f>
        <v>-1821498.2752515264</v>
      </c>
      <c r="AT50" s="344">
        <f t="shared" si="10"/>
        <v>12508347.070874937</v>
      </c>
      <c r="AU50" s="344">
        <f>GasEmissions*AS50+'stock-flow model'!$B25*(AT50)/1000</f>
        <v>-9653.9408588330898</v>
      </c>
      <c r="AV50" s="344">
        <f>MAX(GasEmissions*SUM($AS$27:$AS50)+'stock-flow model'!$B25*SUM($AT$27:$AT50)/1000,-'2-energy assessment'!BG59)</f>
        <v>-546996.12659979798</v>
      </c>
      <c r="AW50" s="343">
        <f>'2-energy assessment'!BG59+AV50</f>
        <v>179528.57750305161</v>
      </c>
      <c r="AX50" s="344">
        <f>C50+SUM(M$27:M50)</f>
        <v>412410.61870237143</v>
      </c>
      <c r="AY50" s="344">
        <f>'2-energy assessment'!BK59-SUM(M$27:M50)</f>
        <v>37736.367955873029</v>
      </c>
      <c r="AZ50" s="344">
        <f t="shared" si="11"/>
        <v>117034.53635138673</v>
      </c>
      <c r="BA50" s="344">
        <f t="shared" si="12"/>
        <v>506.70227366675681</v>
      </c>
      <c r="BB50" s="36">
        <f t="shared" si="13"/>
        <v>-9653.9408588330261</v>
      </c>
      <c r="BC50" s="36">
        <f t="shared" si="16"/>
        <v>-546996.12659979798</v>
      </c>
      <c r="BD50" s="36">
        <f t="shared" si="17"/>
        <v>0</v>
      </c>
    </row>
    <row r="51" spans="1:56" hidden="1" x14ac:dyDescent="0.3">
      <c r="A51" s="257">
        <f t="shared" si="0"/>
        <v>1</v>
      </c>
      <c r="B51" s="393">
        <v>2044</v>
      </c>
      <c r="C51" s="344">
        <f>'2-energy assessment'!BJ60</f>
        <v>412387.43161758536</v>
      </c>
      <c r="D51" s="344">
        <f>('2-energy assessment'!BH60+SUM($I$27:$I50))*FurnaceReplaceRate*TrueReplaceFurnace</f>
        <v>5558.906046078333</v>
      </c>
      <c r="E51" s="344">
        <f>('2-energy assessment'!BI60+SUM($J$27:$J50))*TrueReplaceFurnace*(FurnaceReplaceRate+('Appliance Stock Profile'!$H$16-FurnaceReplaceRate)*TrueReplaceFurnaceAC)</f>
        <v>56.576940810272092</v>
      </c>
      <c r="F51" s="344">
        <f>('2-energy assessment'!AG60+'2-energy assessment'!AN60+SUM(L$27:L50))*DHWReplaceRate*TrueReplaceDHW</f>
        <v>5166.3344465985219</v>
      </c>
      <c r="G51" s="344">
        <f t="shared" si="1"/>
        <v>10781.817433487126</v>
      </c>
      <c r="H51" s="207">
        <f t="shared" si="2"/>
        <v>9703.6356901384133</v>
      </c>
      <c r="I51" s="347">
        <f t="shared" si="3"/>
        <v>-5003.0154414705003</v>
      </c>
      <c r="J51" s="347">
        <f t="shared" si="4"/>
        <v>-50.919246729244882</v>
      </c>
      <c r="K51" s="347">
        <f t="shared" si="5"/>
        <v>-5053.9346881997453</v>
      </c>
      <c r="L51" s="347">
        <f t="shared" si="6"/>
        <v>-4649.7010019386698</v>
      </c>
      <c r="M51" s="347"/>
      <c r="N51" s="347">
        <f t="shared" si="7"/>
        <v>5003.0154414705003</v>
      </c>
      <c r="O51" s="347">
        <f t="shared" si="8"/>
        <v>5053.9346881997453</v>
      </c>
      <c r="P51" s="347">
        <f t="shared" si="9"/>
        <v>4649.7010019386698</v>
      </c>
      <c r="Q51" s="263"/>
      <c r="R51" s="347">
        <f t="shared" si="14"/>
        <v>-5053.9346881997453</v>
      </c>
      <c r="S51" s="347">
        <f>MIN($K51*('2-energy assessment'!$AM60+SUM($S$27:$S50))/('2-energy assessment'!$AM60+'2-energy assessment'!$AF60+SUM($R$27:R50)+SUM(S$27:S50)),0)</f>
        <v>0</v>
      </c>
      <c r="T51" s="347">
        <f t="shared" si="15"/>
        <v>-4649.7010019386698</v>
      </c>
      <c r="U51" s="347">
        <f>MIN($L51*('2-energy assessment'!$AN60+SUM($U$27:$U50))/('2-energy assessment'!$AN60+'2-energy assessment'!$AG60+SUM($L$27:L50)),0)</f>
        <v>0</v>
      </c>
      <c r="V51" s="344">
        <f>'2-energy assessment'!AM60+'2-energy assessment'!AF60+SUM(K$27:K51)</f>
        <v>106623.39453463408</v>
      </c>
      <c r="W51" s="344">
        <f>SUM(L$27:L51)+'2-energy assessment'!AG60+'2-energy assessment'!AN60</f>
        <v>52179.977910645066</v>
      </c>
      <c r="X51" s="394">
        <f>MAX('2-energy assessment'!AF60+SUM(R$27:R51),0)</f>
        <v>117061.33369656139</v>
      </c>
      <c r="Y51" s="394">
        <f>MAX('2-energy assessment'!AG60+SUM(T$27:T51),0)</f>
        <v>120375.82977912584</v>
      </c>
      <c r="Z51" s="395">
        <f>'2-energy assessment'!AH60</f>
        <v>0</v>
      </c>
      <c r="AA51" s="395">
        <f>'2-energy assessment'!AI60+SUM(N$27:N51)</f>
        <v>326569.32555317506</v>
      </c>
      <c r="AB51" s="395">
        <f>'2-energy assessment'!$AJ60+SUM($O$27:$O51)</f>
        <v>327299.54480325006</v>
      </c>
      <c r="AC51" s="395">
        <f>'2-energy assessment'!$AK60+SUM($P$27:$P51)</f>
        <v>396659.98217106989</v>
      </c>
      <c r="AD51" s="395">
        <f>'2-energy assessment'!$AL60+SUM($Q$27:$Q51)</f>
        <v>38421.378885838538</v>
      </c>
      <c r="AE51" s="396">
        <f>MAX('2-energy assessment'!AM60+SUM(S$27:S51),0)</f>
        <v>0</v>
      </c>
      <c r="AF51" s="396">
        <f>MAX('2-energy assessment'!AN60+SUM(U$27:U51),0)</f>
        <v>0</v>
      </c>
      <c r="AG51" s="396">
        <f>'2-energy assessment'!AO60</f>
        <v>412387.43161758536</v>
      </c>
      <c r="AH51" s="396">
        <f>'2-energy assessment'!AP60</f>
        <v>19003.446411883167</v>
      </c>
      <c r="AI51" s="396">
        <f>'2-energy assessment'!AQ60</f>
        <v>17824.938107270253</v>
      </c>
      <c r="AJ51" s="396">
        <f>'2-energy assessment'!AR60</f>
        <v>2907.9173634394319</v>
      </c>
      <c r="AK51" s="396">
        <f>'2-energy assessment'!AS60</f>
        <v>413326.49855931586</v>
      </c>
      <c r="AL51" s="349">
        <f>IFERROR(AE51*'2-energy assessment'!AT60/'2-energy assessment'!AM60,0)</f>
        <v>0</v>
      </c>
      <c r="AM51" s="349">
        <f>IFERROR(AF51*'2-energy assessment'!AU60/'2-energy assessment'!AN60,0)</f>
        <v>0</v>
      </c>
      <c r="AN51" s="349">
        <f>IFERROR(AG51*'2-energy assessment'!AV60/'2-energy assessment'!AO60,0)</f>
        <v>394545.15972470626</v>
      </c>
      <c r="AO51" s="349">
        <f>IFERROR(AH51*'2-energy assessment'!AW60/'2-energy assessment'!AP60,0)</f>
        <v>16738.449657788016</v>
      </c>
      <c r="AP51" s="349">
        <f>IFERROR(AI51*'2-energy assessment'!AX60/'2-energy assessment'!AQ60,0)</f>
        <v>15700.406268157749</v>
      </c>
      <c r="AQ51" s="349">
        <f>IFERROR(AJ51*'2-energy assessment'!AY60/'2-energy assessment'!AR60,0)</f>
        <v>2286.1844694677343</v>
      </c>
      <c r="AR51" s="349">
        <f>IFERROR(AK51*'2-energy assessment'!AZ60/'2-energy assessment'!AS60,0)</f>
        <v>394545.15972470632</v>
      </c>
      <c r="AS51" s="344">
        <f>R51*'Appliance Stock Profile'!$B$21+S51*'Appliance Stock Profile'!$B$20+T51*'Appliance Stock Profile'!$C$21+U51*'Appliance Stock Profile'!$C$20</f>
        <v>-1709678.2874995819</v>
      </c>
      <c r="AT51" s="344">
        <f t="shared" si="10"/>
        <v>11806717.073511489</v>
      </c>
      <c r="AU51" s="344">
        <f>GasEmissions*AS51+'stock-flow model'!$B26*(AT51)/1000</f>
        <v>-9061.2949237477842</v>
      </c>
      <c r="AV51" s="344">
        <f>MAX(GasEmissions*SUM($AS$27:$AS51)+'stock-flow model'!$B26*SUM($AT$27:$AT51)/1000,-'2-energy assessment'!BG60)</f>
        <v>-556057.42152354575</v>
      </c>
      <c r="AW51" s="343">
        <f>'2-energy assessment'!BG60+AV51</f>
        <v>167426.0218473298</v>
      </c>
      <c r="AX51" s="344">
        <f>C51+SUM(M$27:M51)</f>
        <v>412387.43161758536</v>
      </c>
      <c r="AY51" s="344">
        <f>'2-energy assessment'!BK60-SUM(M$27:M51)</f>
        <v>39360.445827569012</v>
      </c>
      <c r="AZ51" s="344">
        <f t="shared" si="11"/>
        <v>116613.04464202348</v>
      </c>
      <c r="BA51" s="344">
        <f t="shared" si="12"/>
        <v>448.28905453791958</v>
      </c>
      <c r="BB51" s="36">
        <f t="shared" si="13"/>
        <v>-9061.2949237477733</v>
      </c>
      <c r="BC51" s="36">
        <f t="shared" si="16"/>
        <v>-556057.42152354575</v>
      </c>
      <c r="BD51" s="36">
        <f t="shared" si="17"/>
        <v>0</v>
      </c>
    </row>
    <row r="52" spans="1:56" hidden="1" x14ac:dyDescent="0.3">
      <c r="A52" s="257">
        <f t="shared" si="0"/>
        <v>1</v>
      </c>
      <c r="B52" s="393">
        <v>2045</v>
      </c>
      <c r="C52" s="344">
        <f>'2-energy assessment'!BJ61</f>
        <v>412365.31024065067</v>
      </c>
      <c r="D52" s="344">
        <f>('2-energy assessment'!BH61+SUM($I$27:$I51))*FurnaceReplaceRate*TrueReplaceFurnace</f>
        <v>5308.6608751497597</v>
      </c>
      <c r="E52" s="344">
        <f>('2-energy assessment'!BI61+SUM($J$27:$J51))*TrueReplaceFurnace*(FurnaceReplaceRate+('Appliance Stock Profile'!$H$16-FurnaceReplaceRate)*TrueReplaceFurnaceAC)</f>
        <v>50.026060794272951</v>
      </c>
      <c r="F52" s="344">
        <f>('2-energy assessment'!AG61+'2-energy assessment'!AN61+SUM(L$27:L51))*DHWReplaceRate*TrueReplaceDHW</f>
        <v>4743.3355054563672</v>
      </c>
      <c r="G52" s="344">
        <f t="shared" si="1"/>
        <v>10102.022441400401</v>
      </c>
      <c r="H52" s="207">
        <f t="shared" si="2"/>
        <v>9091.8201972603601</v>
      </c>
      <c r="I52" s="347">
        <f t="shared" si="3"/>
        <v>-4777.7947876347835</v>
      </c>
      <c r="J52" s="347">
        <f t="shared" si="4"/>
        <v>-45.023454714845656</v>
      </c>
      <c r="K52" s="347">
        <f t="shared" si="5"/>
        <v>-4822.8182423496291</v>
      </c>
      <c r="L52" s="347">
        <f t="shared" si="6"/>
        <v>-4269.001954910731</v>
      </c>
      <c r="M52" s="347"/>
      <c r="N52" s="347">
        <f t="shared" si="7"/>
        <v>4777.7947876347835</v>
      </c>
      <c r="O52" s="347">
        <f t="shared" si="8"/>
        <v>4822.8182423496291</v>
      </c>
      <c r="P52" s="347">
        <f t="shared" si="9"/>
        <v>4269.001954910731</v>
      </c>
      <c r="Q52" s="263"/>
      <c r="R52" s="347">
        <f t="shared" si="14"/>
        <v>-4822.8182423496291</v>
      </c>
      <c r="S52" s="347">
        <f>MIN($K52*('2-energy assessment'!$AM61+SUM($S$27:$S51))/('2-energy assessment'!$AM61+'2-energy assessment'!$AF61+SUM($R$27:R51)+SUM(S$27:S51)),0)</f>
        <v>0</v>
      </c>
      <c r="T52" s="347">
        <f t="shared" si="15"/>
        <v>-4269.001954910731</v>
      </c>
      <c r="U52" s="347">
        <f>MIN($L52*('2-energy assessment'!$AN61+SUM($U$27:$U51))/('2-energy assessment'!$AN61+'2-energy assessment'!$AG61+SUM($L$27:L51)),0)</f>
        <v>0</v>
      </c>
      <c r="V52" s="344">
        <f>'2-energy assessment'!AM61+'2-energy assessment'!AF61+SUM(K$27:K52)</f>
        <v>101791.80567941864</v>
      </c>
      <c r="W52" s="344">
        <f>SUM(L$27:L52)+'2-energy assessment'!AG61+'2-energy assessment'!AN61</f>
        <v>47907.68860510931</v>
      </c>
      <c r="X52" s="394">
        <f>MAX('2-energy assessment'!AF61+SUM(R$27:R52),0)</f>
        <v>116583.84372593403</v>
      </c>
      <c r="Y52" s="394">
        <f>MAX('2-energy assessment'!AG61+SUM(T$27:T52),0)</f>
        <v>119234.99512833531</v>
      </c>
      <c r="Z52" s="395">
        <f>'2-energy assessment'!AH61</f>
        <v>0</v>
      </c>
      <c r="AA52" s="395">
        <f>'2-energy assessment'!AI61+SUM(N$27:N52)</f>
        <v>334216.79553227959</v>
      </c>
      <c r="AB52" s="395">
        <f>'2-energy assessment'!$AJ61+SUM($O$27:$O52)</f>
        <v>334920.3536525268</v>
      </c>
      <c r="AC52" s="395">
        <f>'2-energy assessment'!$AK61+SUM($P$27:$P52)</f>
        <v>402823.95399985957</v>
      </c>
      <c r="AD52" s="395">
        <f>'2-energy assessment'!$AL61+SUM($Q$27:$Q52)</f>
        <v>40022.26967274848</v>
      </c>
      <c r="AE52" s="396">
        <f>MAX('2-energy assessment'!AM61+SUM(S$27:S52),0)</f>
        <v>0</v>
      </c>
      <c r="AF52" s="396">
        <f>MAX('2-energy assessment'!AN61+SUM(U$27:U52),0)</f>
        <v>0</v>
      </c>
      <c r="AG52" s="396">
        <f>'2-energy assessment'!AO61</f>
        <v>412365.31024065067</v>
      </c>
      <c r="AH52" s="396">
        <f>'2-energy assessment'!AP61</f>
        <v>17736.549984424288</v>
      </c>
      <c r="AI52" s="396">
        <f>'2-energy assessment'!AQ61</f>
        <v>16636.608900118896</v>
      </c>
      <c r="AJ52" s="396">
        <f>'2-energy assessment'!AR61</f>
        <v>2617.1256270954909</v>
      </c>
      <c r="AK52" s="396">
        <f>'2-energy assessment'!AS61</f>
        <v>413326.49855931586</v>
      </c>
      <c r="AL52" s="349">
        <f>IFERROR(AE52*'2-energy assessment'!AT61/'2-energy assessment'!AM61,0)</f>
        <v>0</v>
      </c>
      <c r="AM52" s="349">
        <f>IFERROR(AF52*'2-energy assessment'!AU61/'2-energy assessment'!AN61,0)</f>
        <v>0</v>
      </c>
      <c r="AN52" s="349">
        <f>IFERROR(AG52*'2-energy assessment'!AV61/'2-energy assessment'!AO61,0)</f>
        <v>394102.73218601145</v>
      </c>
      <c r="AO52" s="349">
        <f>IFERROR(AH52*'2-energy assessment'!AW61/'2-energy assessment'!AP61,0)</f>
        <v>15454.992372897201</v>
      </c>
      <c r="AP52" s="349">
        <f>IFERROR(AI52*'2-energy assessment'!AX61/'2-energy assessment'!AQ61,0)</f>
        <v>14496.543233492715</v>
      </c>
      <c r="AQ52" s="349">
        <f>IFERROR(AJ52*'2-energy assessment'!AY61/'2-energy assessment'!AR61,0)</f>
        <v>1993.2568509610896</v>
      </c>
      <c r="AR52" s="349">
        <f>IFERROR(AK52*'2-energy assessment'!AZ61/'2-energy assessment'!AS61,0)</f>
        <v>394102.73218601145</v>
      </c>
      <c r="AS52" s="344">
        <f>R52*'Appliance Stock Profile'!$B$21+S52*'Appliance Stock Profile'!$B$20+T52*'Appliance Stock Profile'!$C$21+U52*'Appliance Stock Profile'!$C$20</f>
        <v>-1605359.4616510537</v>
      </c>
      <c r="AT52" s="344">
        <f t="shared" si="10"/>
        <v>11148183.132764505</v>
      </c>
      <c r="AU52" s="344">
        <f>GasEmissions*AS52+'stock-flow model'!$B27*(AT52)/1000</f>
        <v>-8508.4051467505851</v>
      </c>
      <c r="AV52" s="344">
        <f>MAX(GasEmissions*SUM($AS$27:$AS52)+'stock-flow model'!$B27*SUM($AT$27:$AT52)/1000,-'2-energy assessment'!BG61)</f>
        <v>-564565.82667029637</v>
      </c>
      <c r="AW52" s="343">
        <f>'2-energy assessment'!BG61+AV52</f>
        <v>156108.16943833395</v>
      </c>
      <c r="AX52" s="344">
        <f>C52+SUM(M$27:M52)</f>
        <v>412365.31024065067</v>
      </c>
      <c r="AY52" s="344">
        <f>'2-energy assessment'!BK61-SUM(M$27:M52)</f>
        <v>40983.457991413699</v>
      </c>
      <c r="AZ52" s="344">
        <f t="shared" si="11"/>
        <v>116187.46076187586</v>
      </c>
      <c r="BA52" s="344">
        <f t="shared" si="12"/>
        <v>396.38296405818255</v>
      </c>
      <c r="BB52" s="36">
        <f t="shared" si="13"/>
        <v>-8508.4051467506215</v>
      </c>
      <c r="BC52" s="36">
        <f t="shared" si="16"/>
        <v>-564565.82667029637</v>
      </c>
      <c r="BD52" s="36">
        <f t="shared" si="17"/>
        <v>0</v>
      </c>
    </row>
    <row r="53" spans="1:56" hidden="1" x14ac:dyDescent="0.3">
      <c r="B53" s="272"/>
      <c r="C53" s="272" t="s">
        <v>165</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S53" s="272"/>
      <c r="AT53" s="272"/>
      <c r="AU53" s="272"/>
      <c r="AV53" s="272"/>
      <c r="AW53" s="272"/>
      <c r="AX53" s="272"/>
      <c r="AY53" s="272"/>
    </row>
    <row r="54" spans="1:56" hidden="1" x14ac:dyDescent="0.3">
      <c r="B54" s="351"/>
      <c r="C54" s="351"/>
      <c r="D54" s="351">
        <f t="shared" ref="D54" si="18">SUM(D27:D53)</f>
        <v>258325.38612367093</v>
      </c>
      <c r="E54" s="351">
        <f t="shared" ref="E54:F54" si="19">SUM(E27:E53)</f>
        <v>7943.213350562497</v>
      </c>
      <c r="F54" s="351">
        <f t="shared" si="19"/>
        <v>428084.76974781498</v>
      </c>
      <c r="G54" s="351"/>
      <c r="H54" s="351">
        <f t="shared" ref="H54:J54" si="20">SUM(H27:H53)</f>
        <v>534959.99984739989</v>
      </c>
      <c r="I54" s="351">
        <f t="shared" si="20"/>
        <v>-204890.90393751272</v>
      </c>
      <c r="J54" s="351">
        <f t="shared" si="20"/>
        <v>-5799.7943242086358</v>
      </c>
      <c r="K54" s="351">
        <f t="shared" ref="K54:Q54" si="21">SUM(K27:K53)</f>
        <v>-210690.69826172132</v>
      </c>
      <c r="L54" s="351">
        <f t="shared" si="21"/>
        <v>-324269.30158567854</v>
      </c>
      <c r="M54" s="351">
        <f t="shared" si="21"/>
        <v>0</v>
      </c>
      <c r="N54" s="351">
        <f t="shared" si="21"/>
        <v>204890.90393751272</v>
      </c>
      <c r="O54" s="351">
        <f t="shared" si="21"/>
        <v>210690.69826172132</v>
      </c>
      <c r="P54" s="351">
        <f t="shared" si="21"/>
        <v>324269.30158567854</v>
      </c>
      <c r="Q54" s="354">
        <f t="shared" si="21"/>
        <v>0</v>
      </c>
      <c r="R54" s="351">
        <f>SUM(R27:R53)</f>
        <v>-114156.40501930391</v>
      </c>
      <c r="S54" s="351">
        <f>SUM(S27:S53)</f>
        <v>-96534.293242417465</v>
      </c>
      <c r="T54" s="351">
        <f>SUM(T27:T53)</f>
        <v>-222303.83353096596</v>
      </c>
      <c r="U54" s="351">
        <f>SUM(U27:U53)</f>
        <v>-101965.46805471253</v>
      </c>
      <c r="V54" s="351"/>
      <c r="W54" s="351"/>
      <c r="X54" s="354"/>
      <c r="Y54" s="354"/>
      <c r="Z54" s="354"/>
      <c r="AA54" s="354"/>
      <c r="AB54" s="354"/>
      <c r="AC54" s="354"/>
      <c r="AD54" s="354"/>
      <c r="AE54" s="354"/>
      <c r="AF54" s="354"/>
      <c r="AG54" s="354"/>
      <c r="AH54" s="354"/>
      <c r="AI54" s="354"/>
      <c r="AJ54" s="354"/>
      <c r="AK54" s="354"/>
      <c r="AS54" s="351">
        <f>SUM(AS27:AS53)</f>
        <v>-106521854.08873516</v>
      </c>
      <c r="AT54" s="351">
        <f>SUM(AT27:AT53)</f>
        <v>583894054.88807118</v>
      </c>
      <c r="AU54" s="351">
        <f>SUM(AU27:AU53)</f>
        <v>-556660.59549362282</v>
      </c>
      <c r="AV54" s="354">
        <v>-289080.77492493868</v>
      </c>
      <c r="AX54" s="354"/>
      <c r="AY54" s="354"/>
      <c r="AZ54" s="351"/>
    </row>
    <row r="55" spans="1:56" hidden="1" x14ac:dyDescent="0.3">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S55" s="354"/>
      <c r="AT55" s="354"/>
      <c r="AU55" s="354">
        <v>-154456.31746625627</v>
      </c>
      <c r="AV55" s="354"/>
      <c r="AX55" s="354"/>
      <c r="AY55" s="354"/>
    </row>
  </sheetData>
  <mergeCells count="9">
    <mergeCell ref="AL25:AR25"/>
    <mergeCell ref="I25:U25"/>
    <mergeCell ref="B1:C1"/>
    <mergeCell ref="B2:C2"/>
    <mergeCell ref="B5:C5"/>
    <mergeCell ref="X25:AD25"/>
    <mergeCell ref="AE25:AK25"/>
    <mergeCell ref="B3:C3"/>
    <mergeCell ref="D15:E22"/>
  </mergeCells>
  <hyperlinks>
    <hyperlink ref="B2:C2" location="'Policy Impact Dashboard'!A1" display="Back to Policy Impact Dashboard" xr:uid="{C92D3CA6-F016-478C-8564-E5868B9D0078}"/>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ltText="">
                <anchor moveWithCells="1">
                  <from>
                    <xdr:col>2</xdr:col>
                    <xdr:colOff>662940</xdr:colOff>
                    <xdr:row>5</xdr:row>
                    <xdr:rowOff>15240</xdr:rowOff>
                  </from>
                  <to>
                    <xdr:col>2</xdr:col>
                    <xdr:colOff>960120</xdr:colOff>
                    <xdr:row>5</xdr:row>
                    <xdr:rowOff>182880</xdr:rowOff>
                  </to>
                </anchor>
              </controlPr>
            </control>
          </mc:Choice>
        </mc:AlternateContent>
        <mc:AlternateContent xmlns:mc="http://schemas.openxmlformats.org/markup-compatibility/2006">
          <mc:Choice Requires="x14">
            <control shapeId="22531" r:id="rId5" name="Check Box 3">
              <controlPr defaultSize="0" autoFill="0" autoLine="0" autoPict="0" altText="">
                <anchor moveWithCells="1">
                  <from>
                    <xdr:col>2</xdr:col>
                    <xdr:colOff>662940</xdr:colOff>
                    <xdr:row>6</xdr:row>
                    <xdr:rowOff>7620</xdr:rowOff>
                  </from>
                  <to>
                    <xdr:col>2</xdr:col>
                    <xdr:colOff>960120</xdr:colOff>
                    <xdr:row>6</xdr:row>
                    <xdr:rowOff>175260</xdr:rowOff>
                  </to>
                </anchor>
              </controlPr>
            </control>
          </mc:Choice>
        </mc:AlternateContent>
        <mc:AlternateContent xmlns:mc="http://schemas.openxmlformats.org/markup-compatibility/2006">
          <mc:Choice Requires="x14">
            <control shapeId="22532" r:id="rId6" name="Check Box 4">
              <controlPr defaultSize="0" autoFill="0" autoLine="0" autoPict="0" altText="">
                <anchor moveWithCells="1">
                  <from>
                    <xdr:col>2</xdr:col>
                    <xdr:colOff>662940</xdr:colOff>
                    <xdr:row>6</xdr:row>
                    <xdr:rowOff>99060</xdr:rowOff>
                  </from>
                  <to>
                    <xdr:col>2</xdr:col>
                    <xdr:colOff>929640</xdr:colOff>
                    <xdr:row>8</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74</vt:i4>
      </vt:variant>
    </vt:vector>
  </HeadingPairs>
  <TitlesOfParts>
    <vt:vector size="98" baseType="lpstr">
      <vt:lpstr>Change log</vt:lpstr>
      <vt:lpstr>READ ME - Instructions</vt:lpstr>
      <vt:lpstr>Policy Impact Dashboard</vt:lpstr>
      <vt:lpstr>BAU</vt:lpstr>
      <vt:lpstr>NC Reach Code Impacts</vt:lpstr>
      <vt:lpstr>stock-flow model</vt:lpstr>
      <vt:lpstr>1-code compliance</vt:lpstr>
      <vt:lpstr>2-energy assessment</vt:lpstr>
      <vt:lpstr>3-time of replacement</vt:lpstr>
      <vt:lpstr>controls</vt:lpstr>
      <vt:lpstr>4-time of renovation</vt:lpstr>
      <vt:lpstr>5-performance standards</vt:lpstr>
      <vt:lpstr>end of flow</vt:lpstr>
      <vt:lpstr>Housing Stock Profile</vt:lpstr>
      <vt:lpstr>Appliance Stock Profile</vt:lpstr>
      <vt:lpstr>lists</vt:lpstr>
      <vt:lpstr>Housing Stock Defaults</vt:lpstr>
      <vt:lpstr>Utility Profile</vt:lpstr>
      <vt:lpstr>CZ UECs </vt:lpstr>
      <vt:lpstr>City Profile</vt:lpstr>
      <vt:lpstr>city county lists</vt:lpstr>
      <vt:lpstr>MSA Data</vt:lpstr>
      <vt:lpstr>occupied units</vt:lpstr>
      <vt:lpstr>home sales</vt:lpstr>
      <vt:lpstr>AC_UEC</vt:lpstr>
      <vt:lpstr>ACBaselineEff</vt:lpstr>
      <vt:lpstr>ACPerformanceEff</vt:lpstr>
      <vt:lpstr>ACReplaceRate</vt:lpstr>
      <vt:lpstr>ACSaturation</vt:lpstr>
      <vt:lpstr>AssessmentConversionRate</vt:lpstr>
      <vt:lpstr>AssessmentConvertDHW</vt:lpstr>
      <vt:lpstr>AssessmentConvertFurnace</vt:lpstr>
      <vt:lpstr>AssessmentConvertHouse</vt:lpstr>
      <vt:lpstr>AssessmentEEImprovement</vt:lpstr>
      <vt:lpstr>AssessmentTrigger</vt:lpstr>
      <vt:lpstr>BaseAssessment</vt:lpstr>
      <vt:lpstr>BaseCode</vt:lpstr>
      <vt:lpstr>BaseEndOfFlow</vt:lpstr>
      <vt:lpstr>BaseEqptReplacement</vt:lpstr>
      <vt:lpstr>BaseNCReachCode</vt:lpstr>
      <vt:lpstr>BasePerformance</vt:lpstr>
      <vt:lpstr>BaseRenovation</vt:lpstr>
      <vt:lpstr>ComplyAssessment</vt:lpstr>
      <vt:lpstr>ComplyCode</vt:lpstr>
      <vt:lpstr>ComplyEndofFlow</vt:lpstr>
      <vt:lpstr>ComplyEqptReplacemt</vt:lpstr>
      <vt:lpstr>ComplyNCReachCode</vt:lpstr>
      <vt:lpstr>ComplyPerformance</vt:lpstr>
      <vt:lpstr>ComplyRenovation</vt:lpstr>
      <vt:lpstr>ConstructionRate</vt:lpstr>
      <vt:lpstr>DHWReplaceRate</vt:lpstr>
      <vt:lpstr>DHWSaturation</vt:lpstr>
      <vt:lpstr>ElecEmissions</vt:lpstr>
      <vt:lpstr>ElecUEC_NEW</vt:lpstr>
      <vt:lpstr>ElecUECs</vt:lpstr>
      <vt:lpstr>FurnaceReplaceRate</vt:lpstr>
      <vt:lpstr>FurnaceSaturation</vt:lpstr>
      <vt:lpstr>GasEmissions</vt:lpstr>
      <vt:lpstr>GasUEC_NEW</vt:lpstr>
      <vt:lpstr>GasUECs</vt:lpstr>
      <vt:lpstr>HomeResaleRate</vt:lpstr>
      <vt:lpstr>HomeSales</vt:lpstr>
      <vt:lpstr>HP_UEC</vt:lpstr>
      <vt:lpstr>HPReplaceRate</vt:lpstr>
      <vt:lpstr>HPWH_UEC</vt:lpstr>
      <vt:lpstr>HPWHReplaceRate</vt:lpstr>
      <vt:lpstr>MoveRate</vt:lpstr>
      <vt:lpstr>OccupiedUnits</vt:lpstr>
      <vt:lpstr>OwnerRate</vt:lpstr>
      <vt:lpstr>RenovationRate</vt:lpstr>
      <vt:lpstr>Renovations</vt:lpstr>
      <vt:lpstr>RentalRate</vt:lpstr>
      <vt:lpstr>Rentals</vt:lpstr>
      <vt:lpstr>RentalSaturation</vt:lpstr>
      <vt:lpstr>StartAssessment</vt:lpstr>
      <vt:lpstr>StartBldgPerformance</vt:lpstr>
      <vt:lpstr>StartCodeCompliance</vt:lpstr>
      <vt:lpstr>StartEndofFlow</vt:lpstr>
      <vt:lpstr>StartEqptReplacemt</vt:lpstr>
      <vt:lpstr>StartReachCode</vt:lpstr>
      <vt:lpstr>StartRenovation</vt:lpstr>
      <vt:lpstr>TrueAssessment</vt:lpstr>
      <vt:lpstr>TrueCodeCompliance</vt:lpstr>
      <vt:lpstr>TrueEOF</vt:lpstr>
      <vt:lpstr>TruePerformance</vt:lpstr>
      <vt:lpstr>TrueReachCode</vt:lpstr>
      <vt:lpstr>TrueRenovateAllGas</vt:lpstr>
      <vt:lpstr>TrueRenovateDHW</vt:lpstr>
      <vt:lpstr>TrueRenovateFurnace</vt:lpstr>
      <vt:lpstr>TrueRenovation</vt:lpstr>
      <vt:lpstr>TrueReplaceDHW</vt:lpstr>
      <vt:lpstr>TrueReplaceFurnace</vt:lpstr>
      <vt:lpstr>TrueReplaceFurnaceAC</vt:lpstr>
      <vt:lpstr>TrueReplacement</vt:lpstr>
      <vt:lpstr>TrueShowElec</vt:lpstr>
      <vt:lpstr>TrueShowGas</vt:lpstr>
      <vt:lpstr>ZeroCarbElectricity</vt:lpstr>
      <vt:lpstr>ZeroEmissionsBuildings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dc:creator>
  <cp:keywords/>
  <dc:description/>
  <cp:lastModifiedBy>Bruce Mast</cp:lastModifiedBy>
  <cp:revision/>
  <dcterms:created xsi:type="dcterms:W3CDTF">2021-04-28T22:40:05Z</dcterms:created>
  <dcterms:modified xsi:type="dcterms:W3CDTF">2022-12-13T23:22:40Z</dcterms:modified>
  <cp:category/>
  <cp:contentStatus/>
</cp:coreProperties>
</file>